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bom-sumand\Documents\Desktop\"/>
    </mc:Choice>
  </mc:AlternateContent>
  <bookViews>
    <workbookView xWindow="0" yWindow="0" windowWidth="28800" windowHeight="13020"/>
  </bookViews>
  <sheets>
    <sheet name="Sheet1" sheetId="2" r:id="rId1"/>
    <sheet name="invoices-17-Apr-2017-035502" sheetId="1" r:id="rId2"/>
  </sheets>
  <externalReferences>
    <externalReference r:id="rId3"/>
  </externalReferences>
  <definedNames>
    <definedName name="_xlnm._FilterDatabase" localSheetId="1" hidden="1">'invoices-17-Apr-2017-035502'!$A$1:$AE$983</definedName>
  </definedNames>
  <calcPr calcId="152511"/>
  <pivotCaches>
    <pivotCache cacheId="20" r:id="rId4"/>
  </pivotCaches>
</workbook>
</file>

<file path=xl/calcChain.xml><?xml version="1.0" encoding="utf-8"?>
<calcChain xmlns="http://schemas.openxmlformats.org/spreadsheetml/2006/main">
  <c r="R978" i="1" l="1"/>
  <c r="R962" i="1"/>
  <c r="R935" i="1"/>
  <c r="R931" i="1"/>
  <c r="R928" i="1"/>
  <c r="R914" i="1"/>
  <c r="R912" i="1"/>
  <c r="R882" i="1"/>
  <c r="R878" i="1"/>
  <c r="R873" i="1"/>
  <c r="R868" i="1"/>
  <c r="R866" i="1"/>
  <c r="R862" i="1"/>
  <c r="R860" i="1"/>
  <c r="R859" i="1"/>
  <c r="R840" i="1"/>
  <c r="R831" i="1"/>
  <c r="R805" i="1"/>
  <c r="R796" i="1"/>
  <c r="R781" i="1"/>
  <c r="R769" i="1"/>
  <c r="R765" i="1"/>
  <c r="R762" i="1"/>
  <c r="R750" i="1"/>
  <c r="R720" i="1"/>
  <c r="R700" i="1"/>
  <c r="R699" i="1"/>
  <c r="R697" i="1"/>
  <c r="R692" i="1"/>
  <c r="R690" i="1"/>
  <c r="R689" i="1"/>
  <c r="R688" i="1"/>
  <c r="R685" i="1"/>
  <c r="R674" i="1"/>
  <c r="R670" i="1"/>
  <c r="R660" i="1"/>
  <c r="R636" i="1"/>
  <c r="R629" i="1"/>
  <c r="R620" i="1"/>
  <c r="R616" i="1"/>
  <c r="R615" i="1"/>
  <c r="R614" i="1"/>
  <c r="R613" i="1"/>
  <c r="R602" i="1"/>
  <c r="R601" i="1"/>
  <c r="R599" i="1"/>
  <c r="R598" i="1"/>
  <c r="R596" i="1"/>
  <c r="R595" i="1"/>
  <c r="R594" i="1"/>
  <c r="R592" i="1"/>
  <c r="R589" i="1"/>
  <c r="R586" i="1"/>
  <c r="R583" i="1"/>
  <c r="R581" i="1"/>
  <c r="R557" i="1"/>
  <c r="R555" i="1"/>
  <c r="R551" i="1"/>
  <c r="R544" i="1"/>
  <c r="R542" i="1"/>
  <c r="R541" i="1"/>
  <c r="R540" i="1"/>
  <c r="R536" i="1"/>
  <c r="R530" i="1"/>
  <c r="R529" i="1"/>
  <c r="R528" i="1"/>
  <c r="R524" i="1"/>
  <c r="R523" i="1"/>
  <c r="R521" i="1"/>
  <c r="R519" i="1"/>
  <c r="R518" i="1"/>
  <c r="R517" i="1"/>
  <c r="R515" i="1"/>
  <c r="R514" i="1"/>
  <c r="R512" i="1"/>
  <c r="R511" i="1"/>
  <c r="R507" i="1"/>
  <c r="R498" i="1"/>
  <c r="R491" i="1"/>
  <c r="R488" i="1"/>
  <c r="R487" i="1"/>
  <c r="R473" i="1"/>
  <c r="R465" i="1"/>
  <c r="R449" i="1"/>
  <c r="R441" i="1"/>
  <c r="R436" i="1"/>
  <c r="R417" i="1"/>
  <c r="R414" i="1"/>
  <c r="R405" i="1"/>
  <c r="R383" i="1"/>
  <c r="R382" i="1"/>
  <c r="R381" i="1"/>
  <c r="R375" i="1"/>
  <c r="R367" i="1"/>
  <c r="R366" i="1"/>
  <c r="R365" i="1"/>
  <c r="R357" i="1"/>
  <c r="R348" i="1"/>
  <c r="R339" i="1"/>
  <c r="R337" i="1"/>
  <c r="R331" i="1"/>
  <c r="R325" i="1"/>
  <c r="R316" i="1"/>
  <c r="R307" i="1"/>
  <c r="R304" i="1"/>
  <c r="R297" i="1"/>
  <c r="R295" i="1"/>
  <c r="R293" i="1"/>
  <c r="R292" i="1"/>
  <c r="R285" i="1"/>
  <c r="R284" i="1"/>
  <c r="R283" i="1"/>
  <c r="R256" i="1"/>
  <c r="R255" i="1"/>
  <c r="R232" i="1"/>
  <c r="R231" i="1"/>
  <c r="R206" i="1"/>
  <c r="R196" i="1"/>
  <c r="R192" i="1"/>
  <c r="R178" i="1"/>
  <c r="R175" i="1"/>
  <c r="R171" i="1"/>
  <c r="R170" i="1"/>
  <c r="R166" i="1"/>
  <c r="R153" i="1"/>
  <c r="R152" i="1"/>
  <c r="R151" i="1"/>
  <c r="R147" i="1"/>
  <c r="R145" i="1"/>
  <c r="R144" i="1"/>
  <c r="R143" i="1"/>
  <c r="R142" i="1"/>
  <c r="R141" i="1"/>
  <c r="R140" i="1"/>
  <c r="R138" i="1"/>
  <c r="R137" i="1"/>
  <c r="R136" i="1"/>
  <c r="R131" i="1"/>
  <c r="R129" i="1"/>
  <c r="R127" i="1"/>
  <c r="R116" i="1"/>
  <c r="R86" i="1"/>
  <c r="R85" i="1"/>
  <c r="R83" i="1"/>
  <c r="R82" i="1"/>
  <c r="R63" i="1"/>
  <c r="R61" i="1"/>
  <c r="R56" i="1"/>
  <c r="R54" i="1"/>
  <c r="R53" i="1"/>
  <c r="R52" i="1"/>
  <c r="R35" i="1"/>
  <c r="O542" i="1" l="1"/>
  <c r="O762" i="1"/>
  <c r="J762" i="1" s="1"/>
  <c r="O175" i="1"/>
  <c r="O511" i="1"/>
  <c r="O145" i="1"/>
  <c r="O116" i="1"/>
  <c r="O697" i="1"/>
  <c r="O61" i="1"/>
  <c r="O56" i="1"/>
  <c r="O414" i="1"/>
  <c r="O382" i="1"/>
  <c r="J382" i="1" s="1"/>
  <c r="O231" i="1"/>
  <c r="K231" i="1" s="1"/>
  <c r="O381" i="1"/>
  <c r="M381" i="1" s="1"/>
  <c r="O518" i="1"/>
  <c r="O688" i="1"/>
  <c r="H688" i="1" s="1"/>
  <c r="O914" i="1"/>
  <c r="O143" i="1"/>
  <c r="O524" i="1"/>
  <c r="H524" i="1" s="1"/>
  <c r="O141" i="1"/>
  <c r="I141" i="1" s="1"/>
  <c r="O138" i="1"/>
  <c r="O131" i="1"/>
  <c r="O498" i="1"/>
  <c r="O517" i="1"/>
  <c r="K517" i="1" s="1"/>
  <c r="O589" i="1"/>
  <c r="O519" i="1"/>
  <c r="O670" i="1"/>
  <c r="O529" i="1"/>
  <c r="O840" i="1"/>
  <c r="O54" i="1"/>
  <c r="O53" i="1"/>
  <c r="P53" i="1" s="1"/>
  <c r="O862" i="1"/>
  <c r="O536" i="1"/>
  <c r="O599" i="1"/>
  <c r="P599" i="1" s="1"/>
  <c r="O598" i="1"/>
  <c r="O629" i="1"/>
  <c r="O831" i="1"/>
  <c r="L831" i="1" s="1"/>
  <c r="O142" i="1"/>
  <c r="O521" i="1"/>
  <c r="O83" i="1"/>
  <c r="O82" i="1"/>
  <c r="O449" i="1"/>
  <c r="O557" i="1"/>
  <c r="O304" i="1"/>
  <c r="O255" i="1"/>
  <c r="L255" i="1" s="1"/>
  <c r="O348" i="1"/>
  <c r="O781" i="1"/>
  <c r="O256" i="1"/>
  <c r="O601" i="1"/>
  <c r="O528" i="1"/>
  <c r="P528" i="1" s="1"/>
  <c r="O441" i="1"/>
  <c r="O689" i="1"/>
  <c r="O523" i="1"/>
  <c r="N523" i="1" s="1"/>
  <c r="O515" i="1"/>
  <c r="O140" i="1"/>
  <c r="O581" i="1"/>
  <c r="O144" i="1"/>
  <c r="O931" i="1"/>
  <c r="J931" i="1" s="1"/>
  <c r="O512" i="1"/>
  <c r="O147" i="1"/>
  <c r="O232" i="1"/>
  <c r="N232" i="1" s="1"/>
  <c r="O178" i="1"/>
  <c r="O152" i="1"/>
  <c r="L152" i="1" s="1"/>
  <c r="O602" i="1"/>
  <c r="O137" i="1"/>
  <c r="P137" i="1" s="1"/>
  <c r="O690" i="1"/>
  <c r="O583" i="1"/>
  <c r="H583" i="1" s="1"/>
  <c r="O544" i="1"/>
  <c r="O805" i="1"/>
  <c r="I805" i="1" s="1"/>
  <c r="O860" i="1"/>
  <c r="O692" i="1"/>
  <c r="O859" i="1"/>
  <c r="O284" i="1"/>
  <c r="O796" i="1"/>
  <c r="M796" i="1" s="1"/>
  <c r="O620" i="1"/>
  <c r="O935" i="1"/>
  <c r="O63" i="1"/>
  <c r="O530" i="1"/>
  <c r="O136" i="1"/>
  <c r="O505" i="1"/>
  <c r="O674" i="1"/>
  <c r="J674" i="1" s="1"/>
  <c r="O928" i="1"/>
  <c r="O615" i="1"/>
  <c r="O170" i="1"/>
  <c r="O614" i="1"/>
  <c r="O613" i="1"/>
  <c r="J613" i="1" s="1"/>
  <c r="O540" i="1"/>
  <c r="P540" i="1" s="1"/>
  <c r="O35" i="1"/>
  <c r="O765" i="1"/>
  <c r="O750" i="1"/>
  <c r="M750" i="1" s="1"/>
  <c r="O592" i="1"/>
  <c r="O699" i="1"/>
  <c r="O551" i="1"/>
  <c r="O700" i="1"/>
  <c r="O596" i="1"/>
  <c r="O595" i="1"/>
  <c r="O316" i="1"/>
  <c r="H316" i="1" s="1"/>
  <c r="O882" i="1"/>
  <c r="O367" i="1"/>
  <c r="O769" i="1"/>
  <c r="O868" i="1"/>
  <c r="P868" i="1" s="1"/>
  <c r="O720" i="1"/>
  <c r="O541" i="1"/>
  <c r="O52" i="1"/>
  <c r="O514" i="1"/>
  <c r="N514" i="1" s="1"/>
  <c r="O127" i="1"/>
  <c r="N127" i="1" s="1"/>
  <c r="O912" i="1"/>
  <c r="O285" i="1"/>
  <c r="O283" i="1"/>
  <c r="H283" i="1" s="1"/>
  <c r="O339" i="1"/>
  <c r="L339" i="1" s="1"/>
  <c r="O307" i="1"/>
  <c r="O507" i="1"/>
  <c r="O465" i="1"/>
  <c r="I465" i="1" s="1"/>
  <c r="O487" i="1"/>
  <c r="H487" i="1" s="1"/>
  <c r="O366" i="1"/>
  <c r="J366" i="1" s="1"/>
  <c r="O295" i="1"/>
  <c r="O325" i="1"/>
  <c r="O586" i="1"/>
  <c r="O594" i="1"/>
  <c r="K594" i="1" s="1"/>
  <c r="O293" i="1"/>
  <c r="P293" i="1" s="1"/>
  <c r="O488" i="1"/>
  <c r="O436" i="1"/>
  <c r="O365" i="1"/>
  <c r="O357" i="1"/>
  <c r="O375" i="1"/>
  <c r="O206" i="1"/>
  <c r="J206" i="1" s="1"/>
  <c r="O417" i="1"/>
  <c r="O337" i="1"/>
  <c r="O405" i="1"/>
  <c r="O331" i="1"/>
  <c r="O297" i="1"/>
  <c r="O685" i="1"/>
  <c r="O292" i="1"/>
  <c r="I292" i="1" s="1"/>
  <c r="O383" i="1"/>
  <c r="O978" i="1"/>
  <c r="O878" i="1"/>
  <c r="O962" i="1"/>
  <c r="O86" i="1"/>
  <c r="J86" i="1" s="1"/>
  <c r="O85" i="1"/>
  <c r="L85" i="1" s="1"/>
  <c r="O153" i="1"/>
  <c r="O873" i="1"/>
  <c r="H873" i="1" s="1"/>
  <c r="O129" i="1"/>
  <c r="P129" i="1" s="1"/>
  <c r="O660" i="1"/>
  <c r="I660" i="1" s="1"/>
  <c r="O343" i="1"/>
  <c r="L343" i="1" s="1"/>
  <c r="O837" i="1"/>
  <c r="J837" i="1" s="1"/>
  <c r="O473" i="1"/>
  <c r="O509" i="1"/>
  <c r="O192" i="1"/>
  <c r="O151" i="1"/>
  <c r="O171" i="1"/>
  <c r="J171" i="1" s="1"/>
  <c r="O166" i="1"/>
  <c r="H166" i="1" s="1"/>
  <c r="O636" i="1"/>
  <c r="O555" i="1"/>
  <c r="K555" i="1" s="1"/>
  <c r="O491" i="1"/>
  <c r="L491" i="1" s="1"/>
  <c r="O616" i="1"/>
  <c r="O94" i="1"/>
  <c r="K94" i="1" s="1"/>
  <c r="O710" i="1"/>
  <c r="M710" i="1" s="1"/>
  <c r="O535" i="1"/>
  <c r="O454" i="1"/>
  <c r="O162" i="1"/>
  <c r="H162" i="1" s="1"/>
  <c r="O169" i="1"/>
  <c r="O155" i="1"/>
  <c r="O554" i="1"/>
  <c r="J554" i="1" s="1"/>
  <c r="O804" i="1"/>
  <c r="J804" i="1" s="1"/>
  <c r="O538" i="1"/>
  <c r="O117" i="1"/>
  <c r="O527" i="1"/>
  <c r="J527" i="1" s="1"/>
  <c r="O67" i="1"/>
  <c r="M67" i="1" s="1"/>
  <c r="O66" i="1"/>
  <c r="O537" i="1"/>
  <c r="I537" i="1" s="1"/>
  <c r="O274" i="1"/>
  <c r="O741" i="1"/>
  <c r="O617" i="1"/>
  <c r="O619" i="1"/>
  <c r="N619" i="1" s="1"/>
  <c r="O190" i="1"/>
  <c r="J190" i="1" s="1"/>
  <c r="O855" i="1"/>
  <c r="K855" i="1" s="1"/>
  <c r="O150" i="1"/>
  <c r="O983" i="1"/>
  <c r="I983" i="1" s="1"/>
  <c r="O744" i="1"/>
  <c r="O146" i="1"/>
  <c r="H146" i="1" s="1"/>
  <c r="O675" i="1"/>
  <c r="K675" i="1" s="1"/>
  <c r="O440" i="1"/>
  <c r="J440" i="1" s="1"/>
  <c r="O559" i="1"/>
  <c r="O582" i="1"/>
  <c r="O445" i="1"/>
  <c r="J445" i="1" s="1"/>
  <c r="O850" i="1"/>
  <c r="I850" i="1" s="1"/>
  <c r="O104" i="1"/>
  <c r="O110" i="1"/>
  <c r="O493" i="1"/>
  <c r="M493" i="1" s="1"/>
  <c r="O210" i="1"/>
  <c r="H210" i="1" s="1"/>
  <c r="O219" i="1"/>
  <c r="I219" i="1" s="1"/>
  <c r="O612" i="1"/>
  <c r="O622" i="1"/>
  <c r="O132" i="1"/>
  <c r="N132" i="1" s="1"/>
  <c r="O936" i="1"/>
  <c r="K936" i="1" s="1"/>
  <c r="O95" i="1"/>
  <c r="O328" i="1"/>
  <c r="N328" i="1" s="1"/>
  <c r="O391" i="1"/>
  <c r="J391" i="1" s="1"/>
  <c r="O299" i="1"/>
  <c r="O374" i="1"/>
  <c r="J374" i="1" s="1"/>
  <c r="O223" i="1"/>
  <c r="M223" i="1" s="1"/>
  <c r="O869" i="1"/>
  <c r="H869" i="1" s="1"/>
  <c r="O981" i="1"/>
  <c r="J981" i="1" s="1"/>
  <c r="O81" i="1"/>
  <c r="O191" i="1"/>
  <c r="O120" i="1"/>
  <c r="O677" i="1"/>
  <c r="O102" i="1"/>
  <c r="O126" i="1"/>
  <c r="O520" i="1"/>
  <c r="O819" i="1"/>
  <c r="O526" i="1"/>
  <c r="H526" i="1" s="1"/>
  <c r="O929" i="1"/>
  <c r="O203" i="1"/>
  <c r="O848" i="1"/>
  <c r="K848" i="1" s="1"/>
  <c r="O165" i="1"/>
  <c r="L165" i="1" s="1"/>
  <c r="O584" i="1"/>
  <c r="O604" i="1"/>
  <c r="L604" i="1" s="1"/>
  <c r="O847" i="1"/>
  <c r="O461" i="1"/>
  <c r="O603" i="1"/>
  <c r="O973" i="1"/>
  <c r="O895" i="1"/>
  <c r="H895" i="1" s="1"/>
  <c r="O725" i="1"/>
  <c r="O709" i="1"/>
  <c r="O904" i="1"/>
  <c r="O621" i="1"/>
  <c r="O708" i="1"/>
  <c r="J708" i="1" s="1"/>
  <c r="O397" i="1"/>
  <c r="I397" i="1" s="1"/>
  <c r="O396" i="1"/>
  <c r="H396" i="1" s="1"/>
  <c r="O423" i="1"/>
  <c r="O172" i="1"/>
  <c r="O80" i="1"/>
  <c r="O319" i="1"/>
  <c r="K319" i="1" s="1"/>
  <c r="O324" i="1"/>
  <c r="O97" i="1"/>
  <c r="O100" i="1"/>
  <c r="L100" i="1" s="1"/>
  <c r="O982" i="1"/>
  <c r="H982" i="1" s="1"/>
  <c r="O51" i="1"/>
  <c r="O50" i="1"/>
  <c r="O49" i="1"/>
  <c r="O48" i="1"/>
  <c r="N48" i="1" s="1"/>
  <c r="O687" i="1"/>
  <c r="O771" i="1"/>
  <c r="L771" i="1" s="1"/>
  <c r="O743" i="1"/>
  <c r="O47" i="1"/>
  <c r="O742" i="1"/>
  <c r="O814" i="1"/>
  <c r="O829" i="1"/>
  <c r="O716" i="1"/>
  <c r="P716" i="1" s="1"/>
  <c r="O949" i="1"/>
  <c r="K949" i="1" s="1"/>
  <c r="O96" i="1"/>
  <c r="O727" i="1"/>
  <c r="J727" i="1" s="1"/>
  <c r="O608" i="1"/>
  <c r="L608" i="1" s="1"/>
  <c r="O937" i="1"/>
  <c r="O176" i="1"/>
  <c r="L176" i="1" s="1"/>
  <c r="O637" i="1"/>
  <c r="O721" i="1"/>
  <c r="O233" i="1"/>
  <c r="K233" i="1" s="1"/>
  <c r="O424" i="1"/>
  <c r="O913" i="1"/>
  <c r="O618" i="1"/>
  <c r="M618" i="1" s="1"/>
  <c r="O534" i="1"/>
  <c r="O681" i="1"/>
  <c r="H681" i="1" s="1"/>
  <c r="O453" i="1"/>
  <c r="H453" i="1" s="1"/>
  <c r="O361" i="1"/>
  <c r="O386" i="1"/>
  <c r="M386" i="1" s="1"/>
  <c r="O927" i="1"/>
  <c r="K927" i="1" s="1"/>
  <c r="O879" i="1"/>
  <c r="O715" i="1"/>
  <c r="O443" i="1"/>
  <c r="O469" i="1"/>
  <c r="O607" i="1"/>
  <c r="H607" i="1" s="1"/>
  <c r="O606" i="1"/>
  <c r="O758" i="1"/>
  <c r="O605" i="1"/>
  <c r="K605" i="1" s="1"/>
  <c r="O591" i="1"/>
  <c r="O550" i="1"/>
  <c r="O352" i="1"/>
  <c r="O420" i="1"/>
  <c r="P420" i="1" s="1"/>
  <c r="O810" i="1"/>
  <c r="K810" i="1" s="1"/>
  <c r="O947" i="1"/>
  <c r="O630" i="1"/>
  <c r="O236" i="1"/>
  <c r="N236" i="1" s="1"/>
  <c r="O70" i="1"/>
  <c r="O242" i="1"/>
  <c r="O483" i="1"/>
  <c r="O460" i="1"/>
  <c r="O549" i="1"/>
  <c r="O980" i="1"/>
  <c r="O572" i="1"/>
  <c r="O888" i="1"/>
  <c r="O360" i="1"/>
  <c r="O235" i="1"/>
  <c r="O877" i="1"/>
  <c r="O533" i="1"/>
  <c r="O277" i="1"/>
  <c r="O412" i="1"/>
  <c r="O259" i="1"/>
  <c r="O463" i="1"/>
  <c r="O427" i="1"/>
  <c r="O237" i="1"/>
  <c r="O174" i="1"/>
  <c r="O222" i="1"/>
  <c r="O433" i="1"/>
  <c r="O713" i="1"/>
  <c r="L713" i="1" s="1"/>
  <c r="O574" i="1"/>
  <c r="L574" i="1" s="1"/>
  <c r="O506" i="1"/>
  <c r="H506" i="1" s="1"/>
  <c r="O457" i="1"/>
  <c r="O321" i="1"/>
  <c r="L321" i="1" s="1"/>
  <c r="O320" i="1"/>
  <c r="O350" i="1"/>
  <c r="O289" i="1"/>
  <c r="N289" i="1" s="1"/>
  <c r="O334" i="1"/>
  <c r="O694" i="1"/>
  <c r="O200" i="1"/>
  <c r="O402" i="1"/>
  <c r="O378" i="1"/>
  <c r="O890" i="1"/>
  <c r="O300" i="1"/>
  <c r="M300" i="1" s="1"/>
  <c r="O167" i="1"/>
  <c r="J167" i="1" s="1"/>
  <c r="O253" i="1"/>
  <c r="O251" i="1"/>
  <c r="J251" i="1" s="1"/>
  <c r="O712" i="1"/>
  <c r="O889" i="1"/>
  <c r="I889" i="1" s="1"/>
  <c r="O480" i="1"/>
  <c r="O532" i="1"/>
  <c r="O111" i="1"/>
  <c r="H111" i="1" s="1"/>
  <c r="O610" i="1"/>
  <c r="O576" i="1"/>
  <c r="I576" i="1" s="1"/>
  <c r="O379" i="1"/>
  <c r="O384" i="1"/>
  <c r="K384" i="1" s="1"/>
  <c r="O364" i="1"/>
  <c r="K364" i="1" s="1"/>
  <c r="O368" i="1"/>
  <c r="O485" i="1"/>
  <c r="J485" i="1" s="1"/>
  <c r="O661" i="1"/>
  <c r="K661" i="1" s="1"/>
  <c r="O623" i="1"/>
  <c r="O470" i="1"/>
  <c r="K470" i="1" s="1"/>
  <c r="O706" i="1"/>
  <c r="J706" i="1" s="1"/>
  <c r="O834" i="1"/>
  <c r="O950" i="1"/>
  <c r="K950" i="1" s="1"/>
  <c r="O917" i="1"/>
  <c r="O229" i="1"/>
  <c r="K229" i="1" s="1"/>
  <c r="O221" i="1"/>
  <c r="O275" i="1"/>
  <c r="O496" i="1"/>
  <c r="M496" i="1" s="1"/>
  <c r="O719" i="1"/>
  <c r="O311" i="1"/>
  <c r="O479" i="1"/>
  <c r="P479" i="1" s="1"/>
  <c r="O747" i="1"/>
  <c r="P747" i="1" s="1"/>
  <c r="O718" i="1"/>
  <c r="K718" i="1" s="1"/>
  <c r="O729" i="1"/>
  <c r="O894" i="1"/>
  <c r="O714" i="1"/>
  <c r="N714" i="1" s="1"/>
  <c r="O373" i="1"/>
  <c r="O649" i="1"/>
  <c r="J649" i="1" s="1"/>
  <c r="O648" i="1"/>
  <c r="I648" i="1" s="1"/>
  <c r="O823" i="1"/>
  <c r="O673" i="1"/>
  <c r="O458" i="1"/>
  <c r="J458" i="1" s="1"/>
  <c r="O792" i="1"/>
  <c r="K792" i="1" s="1"/>
  <c r="O843" i="1"/>
  <c r="O180" i="1"/>
  <c r="O552" i="1"/>
  <c r="K552" i="1" s="1"/>
  <c r="O717" i="1"/>
  <c r="L717" i="1" s="1"/>
  <c r="O502" i="1"/>
  <c r="O279" i="1"/>
  <c r="O844" i="1"/>
  <c r="J844" i="1" s="1"/>
  <c r="O161" i="1"/>
  <c r="M161" i="1" s="1"/>
  <c r="O484" i="1"/>
  <c r="O809" i="1"/>
  <c r="O363" i="1"/>
  <c r="J363" i="1" s="1"/>
  <c r="O863" i="1"/>
  <c r="O79" i="1"/>
  <c r="O78" i="1"/>
  <c r="H78" i="1" s="1"/>
  <c r="O430" i="1"/>
  <c r="O977" i="1"/>
  <c r="O164" i="1"/>
  <c r="O954" i="1"/>
  <c r="H954" i="1" s="1"/>
  <c r="O892" i="1"/>
  <c r="K892" i="1" s="1"/>
  <c r="O490" i="1"/>
  <c r="O494" i="1"/>
  <c r="O901" i="1"/>
  <c r="O271" i="1"/>
  <c r="N271" i="1" s="1"/>
  <c r="O77" i="1"/>
  <c r="H77" i="1" s="1"/>
  <c r="O106" i="1"/>
  <c r="O65" i="1"/>
  <c r="H65" i="1" s="1"/>
  <c r="O456" i="1"/>
  <c r="L456" i="1" s="1"/>
  <c r="O722" i="1"/>
  <c r="O853" i="1"/>
  <c r="O580" i="1"/>
  <c r="O579" i="1"/>
  <c r="P579" i="1" s="1"/>
  <c r="O578" i="1"/>
  <c r="O577" i="1"/>
  <c r="O626" i="1"/>
  <c r="L626" i="1" s="1"/>
  <c r="O932" i="1"/>
  <c r="K932" i="1" s="1"/>
  <c r="O197" i="1"/>
  <c r="O276" i="1"/>
  <c r="O247" i="1"/>
  <c r="O224" i="1"/>
  <c r="M224" i="1" s="1"/>
  <c r="O258" i="1"/>
  <c r="K258" i="1" s="1"/>
  <c r="O301" i="1"/>
  <c r="I301" i="1" s="1"/>
  <c r="O266" i="1"/>
  <c r="O303" i="1"/>
  <c r="M303" i="1" s="1"/>
  <c r="O226" i="1"/>
  <c r="O239" i="1"/>
  <c r="O399" i="1"/>
  <c r="O633" i="1"/>
  <c r="O380" i="1"/>
  <c r="O539" i="1"/>
  <c r="K539" i="1" s="1"/>
  <c r="O499" i="1"/>
  <c r="O975" i="1"/>
  <c r="K975" i="1" s="1"/>
  <c r="O26" i="1"/>
  <c r="O940" i="1"/>
  <c r="M940" i="1" s="1"/>
  <c r="O960" i="1"/>
  <c r="O924" i="1"/>
  <c r="O885" i="1"/>
  <c r="O625" i="1"/>
  <c r="H625" i="1" s="1"/>
  <c r="O76" i="1"/>
  <c r="H76" i="1" s="1"/>
  <c r="O801" i="1"/>
  <c r="H801" i="1" s="1"/>
  <c r="O273" i="1"/>
  <c r="O898" i="1"/>
  <c r="O833" i="1"/>
  <c r="O923" i="1"/>
  <c r="O189" i="1"/>
  <c r="K189" i="1" s="1"/>
  <c r="O214" i="1"/>
  <c r="K214" i="1" s="1"/>
  <c r="O662" i="1"/>
  <c r="O186" i="1"/>
  <c r="O739" i="1"/>
  <c r="P739" i="1" s="1"/>
  <c r="O774" i="1"/>
  <c r="O738" i="1"/>
  <c r="H738" i="1" s="1"/>
  <c r="O806" i="1"/>
  <c r="O887" i="1"/>
  <c r="O871" i="1"/>
  <c r="O730" i="1"/>
  <c r="O846" i="1"/>
  <c r="H846" i="1" s="1"/>
  <c r="O749" i="1"/>
  <c r="H749" i="1" s="1"/>
  <c r="O296" i="1"/>
  <c r="H296" i="1" s="1"/>
  <c r="O280" i="1"/>
  <c r="O227" i="1"/>
  <c r="O353" i="1"/>
  <c r="H353" i="1" s="1"/>
  <c r="O429" i="1"/>
  <c r="O428" i="1"/>
  <c r="O393" i="1"/>
  <c r="O225" i="1"/>
  <c r="O925" i="1"/>
  <c r="L925" i="1" s="1"/>
  <c r="O362" i="1"/>
  <c r="O732" i="1"/>
  <c r="O826" i="1"/>
  <c r="O808" i="1"/>
  <c r="O841" i="1"/>
  <c r="O759" i="1"/>
  <c r="O934" i="1"/>
  <c r="O798" i="1"/>
  <c r="H798" i="1" s="1"/>
  <c r="O906" i="1"/>
  <c r="K906" i="1" s="1"/>
  <c r="O726" i="1"/>
  <c r="N726" i="1" s="1"/>
  <c r="O785" i="1"/>
  <c r="P785" i="1" s="1"/>
  <c r="O842" i="1"/>
  <c r="M842" i="1" s="1"/>
  <c r="O961" i="1"/>
  <c r="K961" i="1" s="1"/>
  <c r="O501" i="1"/>
  <c r="O500" i="1"/>
  <c r="O926" i="1"/>
  <c r="O909" i="1"/>
  <c r="O477" i="1"/>
  <c r="O208" i="1"/>
  <c r="O922" i="1"/>
  <c r="P922" i="1" s="1"/>
  <c r="O698" i="1"/>
  <c r="O257" i="1"/>
  <c r="O628" i="1"/>
  <c r="N628" i="1" s="1"/>
  <c r="O627" i="1"/>
  <c r="O818" i="1"/>
  <c r="O105" i="1"/>
  <c r="J105" i="1" s="1"/>
  <c r="O108" i="1"/>
  <c r="H108" i="1" s="1"/>
  <c r="O907" i="1"/>
  <c r="O920" i="1"/>
  <c r="O770" i="1"/>
  <c r="H770" i="1" s="1"/>
  <c r="O438" i="1"/>
  <c r="K438" i="1" s="1"/>
  <c r="O462" i="1"/>
  <c r="O905" i="1"/>
  <c r="I905" i="1" s="1"/>
  <c r="O442" i="1"/>
  <c r="N442" i="1" s="1"/>
  <c r="O103" i="1"/>
  <c r="H103" i="1" s="1"/>
  <c r="O228" i="1"/>
  <c r="H228" i="1" s="1"/>
  <c r="O786" i="1"/>
  <c r="H786" i="1" s="1"/>
  <c r="O322" i="1"/>
  <c r="O444" i="1"/>
  <c r="H444" i="1" s="1"/>
  <c r="O911" i="1"/>
  <c r="O870" i="1"/>
  <c r="O571" i="1"/>
  <c r="O570" i="1"/>
  <c r="O569" i="1"/>
  <c r="O568" i="1"/>
  <c r="O567" i="1"/>
  <c r="O566" i="1"/>
  <c r="O565" i="1"/>
  <c r="O564" i="1"/>
  <c r="O563" i="1"/>
  <c r="O665" i="1"/>
  <c r="O641" i="1"/>
  <c r="K641" i="1" s="1"/>
  <c r="O640" i="1"/>
  <c r="O639" i="1"/>
  <c r="O638" i="1"/>
  <c r="O130" i="1"/>
  <c r="O472" i="1"/>
  <c r="O249" i="1"/>
  <c r="O248" i="1"/>
  <c r="O177" i="1"/>
  <c r="J177" i="1" s="1"/>
  <c r="O711" i="1"/>
  <c r="O159" i="1"/>
  <c r="O298" i="1"/>
  <c r="P298" i="1" s="1"/>
  <c r="O184" i="1"/>
  <c r="O347" i="1"/>
  <c r="O811" i="1"/>
  <c r="O139" i="1"/>
  <c r="O57" i="1"/>
  <c r="L57" i="1" s="1"/>
  <c r="O945" i="1"/>
  <c r="L945" i="1" s="1"/>
  <c r="O897" i="1"/>
  <c r="K897" i="1" s="1"/>
  <c r="O944" i="1"/>
  <c r="O503" i="1"/>
  <c r="O757" i="1"/>
  <c r="O919" i="1"/>
  <c r="O522" i="1"/>
  <c r="O459" i="1"/>
  <c r="O489" i="1"/>
  <c r="O728" i="1"/>
  <c r="O856" i="1"/>
  <c r="O388" i="1"/>
  <c r="O724" i="1"/>
  <c r="O723" i="1"/>
  <c r="L723" i="1" s="1"/>
  <c r="O733" i="1"/>
  <c r="H733" i="1" s="1"/>
  <c r="O89" i="1"/>
  <c r="O389" i="1"/>
  <c r="O290" i="1"/>
  <c r="O212" i="1"/>
  <c r="M212" i="1" s="1"/>
  <c r="O112" i="1"/>
  <c r="O71" i="1"/>
  <c r="O118" i="1"/>
  <c r="H118" i="1" s="1"/>
  <c r="O220" i="1"/>
  <c r="O864" i="1"/>
  <c r="O884" i="1"/>
  <c r="K884" i="1" s="1"/>
  <c r="O573" i="1"/>
  <c r="H573" i="1" s="1"/>
  <c r="O410" i="1"/>
  <c r="O560" i="1"/>
  <c r="O827" i="1"/>
  <c r="O754" i="1"/>
  <c r="O903" i="1"/>
  <c r="O546" i="1"/>
  <c r="O575" i="1"/>
  <c r="L575" i="1" s="1"/>
  <c r="O645" i="1"/>
  <c r="O244" i="1"/>
  <c r="O75" i="1"/>
  <c r="I75" i="1" s="1"/>
  <c r="O948" i="1"/>
  <c r="O684" i="1"/>
  <c r="O585" i="1"/>
  <c r="I585" i="1" s="1"/>
  <c r="O861" i="1"/>
  <c r="O657" i="1"/>
  <c r="K657" i="1" s="1"/>
  <c r="O158" i="1"/>
  <c r="I158" i="1" s="1"/>
  <c r="O157" i="1"/>
  <c r="O125" i="1"/>
  <c r="O437" i="1"/>
  <c r="O84" i="1"/>
  <c r="O160" i="1"/>
  <c r="P160" i="1" s="1"/>
  <c r="O972" i="1"/>
  <c r="O446" i="1"/>
  <c r="J446" i="1" s="1"/>
  <c r="O74" i="1"/>
  <c r="H74" i="1" s="1"/>
  <c r="O179" i="1"/>
  <c r="O101" i="1"/>
  <c r="K101" i="1" s="1"/>
  <c r="O957" i="1"/>
  <c r="J957" i="1" s="1"/>
  <c r="O824" i="1"/>
  <c r="K824" i="1" s="1"/>
  <c r="O820" i="1"/>
  <c r="H820" i="1" s="1"/>
  <c r="O338" i="1"/>
  <c r="O327" i="1"/>
  <c r="O695" i="1"/>
  <c r="O979" i="1"/>
  <c r="K979" i="1" s="1"/>
  <c r="O201" i="1"/>
  <c r="N201" i="1" s="1"/>
  <c r="O286" i="1"/>
  <c r="O188" i="1"/>
  <c r="L188" i="1" s="1"/>
  <c r="O736" i="1"/>
  <c r="O965" i="1"/>
  <c r="I965" i="1" s="1"/>
  <c r="O330" i="1"/>
  <c r="O392" i="1"/>
  <c r="O313" i="1"/>
  <c r="O900" i="1"/>
  <c r="L900" i="1" s="1"/>
  <c r="O865" i="1"/>
  <c r="J865" i="1" s="1"/>
  <c r="O896" i="1"/>
  <c r="I896" i="1" s="1"/>
  <c r="O288" i="1"/>
  <c r="O213" i="1"/>
  <c r="O217" i="1"/>
  <c r="L217" i="1" s="1"/>
  <c r="O682" i="1"/>
  <c r="O329" i="1"/>
  <c r="O398" i="1"/>
  <c r="L398" i="1" s="1"/>
  <c r="O287" i="1"/>
  <c r="K287" i="1" s="1"/>
  <c r="O632" i="1"/>
  <c r="O745" i="1"/>
  <c r="O263" i="1"/>
  <c r="O783" i="1"/>
  <c r="N783" i="1" s="1"/>
  <c r="O830" i="1"/>
  <c r="K830" i="1" s="1"/>
  <c r="O309" i="1"/>
  <c r="K309" i="1" s="1"/>
  <c r="O707" i="1"/>
  <c r="O468" i="1"/>
  <c r="O317" i="1"/>
  <c r="O128" i="1"/>
  <c r="O240" i="1"/>
  <c r="J240" i="1" s="1"/>
  <c r="O737" i="1"/>
  <c r="O448" i="1"/>
  <c r="O760" i="1"/>
  <c r="O854" i="1"/>
  <c r="K854" i="1" s="1"/>
  <c r="O832" i="1"/>
  <c r="O272" i="1"/>
  <c r="O333" i="1"/>
  <c r="O241" i="1"/>
  <c r="H241" i="1" s="1"/>
  <c r="O39" i="1"/>
  <c r="I39" i="1" s="1"/>
  <c r="O13" i="1"/>
  <c r="O69" i="1"/>
  <c r="H69" i="1" s="1"/>
  <c r="O658" i="1"/>
  <c r="H658" i="1" s="1"/>
  <c r="O269" i="1"/>
  <c r="H269" i="1" s="1"/>
  <c r="O260" i="1"/>
  <c r="O238" i="1"/>
  <c r="O218" i="1"/>
  <c r="H218" i="1" s="1"/>
  <c r="O250" i="1"/>
  <c r="N250" i="1" s="1"/>
  <c r="O974" i="1"/>
  <c r="H974" i="1" s="1"/>
  <c r="O90" i="1"/>
  <c r="O836" i="1"/>
  <c r="L836" i="1" s="1"/>
  <c r="O970" i="1"/>
  <c r="H970" i="1" s="1"/>
  <c r="O767" i="1"/>
  <c r="O881" i="1"/>
  <c r="L881" i="1" s="1"/>
  <c r="O635" i="1"/>
  <c r="O787" i="1"/>
  <c r="O942" i="1"/>
  <c r="H942" i="1" s="1"/>
  <c r="O93" i="1"/>
  <c r="O369" i="1"/>
  <c r="H369" i="1" s="1"/>
  <c r="O825" i="1"/>
  <c r="O406" i="1"/>
  <c r="O761" i="1"/>
  <c r="N761" i="1" s="1"/>
  <c r="O891" i="1"/>
  <c r="O467" i="1"/>
  <c r="I467" i="1" s="1"/>
  <c r="O482" i="1"/>
  <c r="H482" i="1" s="1"/>
  <c r="O149" i="1"/>
  <c r="O813" i="1"/>
  <c r="O793" i="1"/>
  <c r="N793" i="1" s="1"/>
  <c r="O867" i="1"/>
  <c r="O845" i="1"/>
  <c r="H845" i="1" s="1"/>
  <c r="O910" i="1"/>
  <c r="N910" i="1" s="1"/>
  <c r="O679" i="1"/>
  <c r="M679" i="1" s="1"/>
  <c r="O678" i="1"/>
  <c r="I678" i="1" s="1"/>
  <c r="O92" i="1"/>
  <c r="O46" i="1"/>
  <c r="O875" i="1"/>
  <c r="K875" i="1" s="1"/>
  <c r="O791" i="1"/>
  <c r="O642" i="1"/>
  <c r="O676" i="1"/>
  <c r="J676" i="1" s="1"/>
  <c r="O964" i="1"/>
  <c r="P964" i="1" s="1"/>
  <c r="O314" i="1"/>
  <c r="O656" i="1"/>
  <c r="K656" i="1" s="1"/>
  <c r="O282" i="1"/>
  <c r="O953" i="1"/>
  <c r="O173" i="1"/>
  <c r="K173" i="1" s="1"/>
  <c r="O778" i="1"/>
  <c r="L778" i="1" s="1"/>
  <c r="O252" i="1"/>
  <c r="O504" i="1"/>
  <c r="O387" i="1"/>
  <c r="N387" i="1" s="1"/>
  <c r="O968" i="1"/>
  <c r="P968" i="1" s="1"/>
  <c r="O938" i="1"/>
  <c r="O372" i="1"/>
  <c r="O691" i="1"/>
  <c r="N691" i="1" s="1"/>
  <c r="O828" i="1"/>
  <c r="J828" i="1" s="1"/>
  <c r="O556" i="1"/>
  <c r="M556" i="1" s="1"/>
  <c r="O450" i="1"/>
  <c r="L450" i="1" s="1"/>
  <c r="O849" i="1"/>
  <c r="O958" i="1"/>
  <c r="O408" i="1"/>
  <c r="O265" i="1"/>
  <c r="M265" i="1" s="1"/>
  <c r="O475" i="1"/>
  <c r="O434" i="1"/>
  <c r="N434" i="1" s="1"/>
  <c r="O370" i="1"/>
  <c r="O403" i="1"/>
  <c r="J403" i="1" s="1"/>
  <c r="O336" i="1"/>
  <c r="O908" i="1"/>
  <c r="J908" i="1" s="1"/>
  <c r="O340" i="1"/>
  <c r="O588" i="1"/>
  <c r="H588" i="1" s="1"/>
  <c r="O58" i="1"/>
  <c r="O345" i="1"/>
  <c r="O346" i="1"/>
  <c r="O335" i="1"/>
  <c r="O735" i="1"/>
  <c r="O411" i="1"/>
  <c r="O663" i="1"/>
  <c r="O644" i="1"/>
  <c r="O753" i="1"/>
  <c r="O643" i="1"/>
  <c r="I643" i="1" s="1"/>
  <c r="O486" i="1"/>
  <c r="M486" i="1" s="1"/>
  <c r="O748" i="1"/>
  <c r="O646" i="1"/>
  <c r="O466" i="1"/>
  <c r="K466" i="1" s="1"/>
  <c r="O198" i="1"/>
  <c r="K198" i="1" s="1"/>
  <c r="O326" i="1"/>
  <c r="O351" i="1"/>
  <c r="O797" i="1"/>
  <c r="O952" i="1"/>
  <c r="M952" i="1" s="1"/>
  <c r="O768" i="1"/>
  <c r="O561" i="1"/>
  <c r="O134" i="1"/>
  <c r="O652" i="1"/>
  <c r="L652" i="1" s="1"/>
  <c r="O415" i="1"/>
  <c r="O312" i="1"/>
  <c r="P312" i="1" s="1"/>
  <c r="O310" i="1"/>
  <c r="L310" i="1" s="1"/>
  <c r="O918" i="1"/>
  <c r="O447" i="1"/>
  <c r="O971" i="1"/>
  <c r="O794" i="1"/>
  <c r="O777" i="1"/>
  <c r="O789" i="1"/>
  <c r="O776" i="1"/>
  <c r="J776" i="1" s="1"/>
  <c r="O775" i="1"/>
  <c r="H775" i="1" s="1"/>
  <c r="O822" i="1"/>
  <c r="P822" i="1" s="1"/>
  <c r="O800" i="1"/>
  <c r="O886" i="1"/>
  <c r="O799" i="1"/>
  <c r="O471" i="1"/>
  <c r="O655" i="1"/>
  <c r="K655" i="1" s="1"/>
  <c r="O852" i="1"/>
  <c r="O302" i="1"/>
  <c r="O306" i="1"/>
  <c r="L306" i="1" s="1"/>
  <c r="O267" i="1"/>
  <c r="I267" i="1" s="1"/>
  <c r="O752" i="1"/>
  <c r="J752" i="1" s="1"/>
  <c r="O851" i="1"/>
  <c r="O883" i="1"/>
  <c r="O669" i="1"/>
  <c r="H669" i="1" s="1"/>
  <c r="O344" i="1"/>
  <c r="O654" i="1"/>
  <c r="O435" i="1"/>
  <c r="O474" i="1"/>
  <c r="H474" i="1" s="1"/>
  <c r="O817" i="1"/>
  <c r="O513" i="1"/>
  <c r="O124" i="1"/>
  <c r="O278" i="1"/>
  <c r="L278" i="1" s="1"/>
  <c r="O899" i="1"/>
  <c r="H899" i="1" s="1"/>
  <c r="O756" i="1"/>
  <c r="P756" i="1" s="1"/>
  <c r="O672" i="1"/>
  <c r="O802" i="1"/>
  <c r="M802" i="1" s="1"/>
  <c r="O751" i="1"/>
  <c r="J751" i="1" s="1"/>
  <c r="O409" i="1"/>
  <c r="O772" i="1"/>
  <c r="O969" i="1"/>
  <c r="K969" i="1" s="1"/>
  <c r="O631" i="1"/>
  <c r="O114" i="1"/>
  <c r="J114" i="1" s="1"/>
  <c r="O109" i="1"/>
  <c r="O857" i="1"/>
  <c r="K857" i="1" s="1"/>
  <c r="O680" i="1"/>
  <c r="J680" i="1" s="1"/>
  <c r="O318" i="1"/>
  <c r="O963" i="1"/>
  <c r="N963" i="1" s="1"/>
  <c r="O432" i="1"/>
  <c r="O731" i="1"/>
  <c r="N731" i="1" s="1"/>
  <c r="O946" i="1"/>
  <c r="M946" i="1" s="1"/>
  <c r="O371" i="1"/>
  <c r="L371" i="1" s="1"/>
  <c r="O123" i="1"/>
  <c r="K123" i="1" s="1"/>
  <c r="O264" i="1"/>
  <c r="N264" i="1" s="1"/>
  <c r="O893" i="1"/>
  <c r="O803" i="1"/>
  <c r="O195" i="1"/>
  <c r="N195" i="1" s="1"/>
  <c r="O194" i="1"/>
  <c r="I194" i="1" s="1"/>
  <c r="O122" i="1"/>
  <c r="O356" i="1"/>
  <c r="O666" i="1"/>
  <c r="O315" i="1"/>
  <c r="O943" i="1"/>
  <c r="O951" i="1"/>
  <c r="O782" i="1"/>
  <c r="K782" i="1" s="1"/>
  <c r="O764" i="1"/>
  <c r="O763" i="1"/>
  <c r="O693" i="1"/>
  <c r="I693" i="1" s="1"/>
  <c r="O683" i="1"/>
  <c r="N683" i="1" s="1"/>
  <c r="O858" i="1"/>
  <c r="O121" i="1"/>
  <c r="O439" i="1"/>
  <c r="O941" i="1"/>
  <c r="N941" i="1" s="1"/>
  <c r="O156" i="1"/>
  <c r="O481" i="1"/>
  <c r="O187" i="1"/>
  <c r="K187" i="1" s="1"/>
  <c r="O955" i="1"/>
  <c r="L955" i="1" s="1"/>
  <c r="O876" i="1"/>
  <c r="O966" i="1"/>
  <c r="L966" i="1" s="1"/>
  <c r="O587" i="1"/>
  <c r="O821" i="1"/>
  <c r="J821" i="1" s="1"/>
  <c r="O182" i="1"/>
  <c r="M182" i="1" s="1"/>
  <c r="O464" i="1"/>
  <c r="N464" i="1" s="1"/>
  <c r="O839" i="1"/>
  <c r="O341" i="1"/>
  <c r="K341" i="1" s="1"/>
  <c r="O342" i="1"/>
  <c r="O497" i="1"/>
  <c r="J497" i="1" s="1"/>
  <c r="O547" i="1"/>
  <c r="H547" i="1" s="1"/>
  <c r="O664" i="1"/>
  <c r="O246" i="1"/>
  <c r="O545" i="1"/>
  <c r="N545" i="1" s="1"/>
  <c r="O659" i="1"/>
  <c r="O653" i="1"/>
  <c r="H653" i="1" s="1"/>
  <c r="O838" i="1"/>
  <c r="H838" i="1" s="1"/>
  <c r="O902" i="1"/>
  <c r="O148" i="1"/>
  <c r="N148" i="1" s="1"/>
  <c r="O780" i="1"/>
  <c r="L780" i="1" s="1"/>
  <c r="O959" i="1"/>
  <c r="O358" i="1"/>
  <c r="O746" i="1"/>
  <c r="O600" i="1"/>
  <c r="H600" i="1" s="1"/>
  <c r="O634" i="1"/>
  <c r="H634" i="1" s="1"/>
  <c r="O113" i="1"/>
  <c r="O734" i="1"/>
  <c r="H734" i="1" s="1"/>
  <c r="O168" i="1"/>
  <c r="O431" i="1"/>
  <c r="J431" i="1" s="1"/>
  <c r="O196" i="1"/>
  <c r="O790" i="1"/>
  <c r="O872" i="1"/>
  <c r="O553" i="1"/>
  <c r="O262" i="1"/>
  <c r="K262" i="1" s="1"/>
  <c r="O976" i="1"/>
  <c r="O181" i="1"/>
  <c r="O215" i="1"/>
  <c r="O476" i="1"/>
  <c r="H476" i="1" s="1"/>
  <c r="O72" i="1"/>
  <c r="O593" i="1"/>
  <c r="O281" i="1"/>
  <c r="J281" i="1" s="1"/>
  <c r="O390" i="1"/>
  <c r="O590" i="1"/>
  <c r="O795" i="1"/>
  <c r="K795" i="1" s="1"/>
  <c r="O261" i="1"/>
  <c r="O291" i="1"/>
  <c r="K291" i="1" s="1"/>
  <c r="O492" i="1"/>
  <c r="J492" i="1" s="1"/>
  <c r="O354" i="1"/>
  <c r="O355" i="1"/>
  <c r="O696" i="1"/>
  <c r="K696" i="1" s="1"/>
  <c r="O548" i="1"/>
  <c r="K548" i="1" s="1"/>
  <c r="O455" i="1"/>
  <c r="I455" i="1" s="1"/>
  <c r="O916" i="1"/>
  <c r="O294" i="1"/>
  <c r="L294" i="1" s="1"/>
  <c r="O671" i="1"/>
  <c r="O270" i="1"/>
  <c r="K270" i="1" s="1"/>
  <c r="O243" i="1"/>
  <c r="O115" i="1"/>
  <c r="O874" i="1"/>
  <c r="O88" i="1"/>
  <c r="K88" i="1" s="1"/>
  <c r="O377" i="1"/>
  <c r="O308" i="1"/>
  <c r="O967" i="1"/>
  <c r="K967" i="1" s="1"/>
  <c r="O268" i="1"/>
  <c r="N268" i="1" s="1"/>
  <c r="O332" i="1"/>
  <c r="M332" i="1" s="1"/>
  <c r="O452" i="1"/>
  <c r="I452" i="1" s="1"/>
  <c r="O933" i="1"/>
  <c r="O562" i="1"/>
  <c r="J562" i="1" s="1"/>
  <c r="O495" i="1"/>
  <c r="O508" i="1"/>
  <c r="L508" i="1" s="1"/>
  <c r="O349" i="1"/>
  <c r="O816" i="1"/>
  <c r="O154" i="1"/>
  <c r="H154" i="1" s="1"/>
  <c r="O773" i="1"/>
  <c r="O416" i="1"/>
  <c r="O185" i="1"/>
  <c r="O807" i="1"/>
  <c r="I807" i="1" s="1"/>
  <c r="O401" i="1"/>
  <c r="J401" i="1" s="1"/>
  <c r="O216" i="1"/>
  <c r="O395" i="1"/>
  <c r="N395" i="1" s="1"/>
  <c r="O234" i="1"/>
  <c r="O183" i="1"/>
  <c r="O422" i="1"/>
  <c r="O611" i="1"/>
  <c r="K611" i="1" s="1"/>
  <c r="O835" i="1"/>
  <c r="K835" i="1" s="1"/>
  <c r="O230" i="1"/>
  <c r="L230" i="1" s="1"/>
  <c r="O425" i="1"/>
  <c r="L425" i="1" s="1"/>
  <c r="O880" i="1"/>
  <c r="H880" i="1" s="1"/>
  <c r="O451" i="1"/>
  <c r="O766" i="1"/>
  <c r="O915" i="1"/>
  <c r="O421" i="1"/>
  <c r="J421" i="1" s="1"/>
  <c r="O788" i="1"/>
  <c r="H788" i="1" s="1"/>
  <c r="O133" i="1"/>
  <c r="M133" i="1" s="1"/>
  <c r="O668" i="1"/>
  <c r="H668" i="1" s="1"/>
  <c r="O525" i="1"/>
  <c r="O930" i="1"/>
  <c r="H930" i="1" s="1"/>
  <c r="O516" i="1"/>
  <c r="H516" i="1" s="1"/>
  <c r="O245" i="1"/>
  <c r="N245" i="1" s="1"/>
  <c r="O323" i="1"/>
  <c r="O510" i="1"/>
  <c r="O597" i="1"/>
  <c r="O91" i="1"/>
  <c r="L91" i="1" s="1"/>
  <c r="O755" i="1"/>
  <c r="H755" i="1" s="1"/>
  <c r="O418" i="1"/>
  <c r="O815" i="1"/>
  <c r="L815" i="1" s="1"/>
  <c r="O701" i="1"/>
  <c r="M701" i="1" s="1"/>
  <c r="O376" i="1"/>
  <c r="O394" i="1"/>
  <c r="O400" i="1"/>
  <c r="J400" i="1" s="1"/>
  <c r="O779" i="1"/>
  <c r="I779" i="1" s="1"/>
  <c r="O193" i="1"/>
  <c r="H193" i="1" s="1"/>
  <c r="O705" i="1"/>
  <c r="H705" i="1" s="1"/>
  <c r="O704" i="1"/>
  <c r="O703" i="1"/>
  <c r="H703" i="1" s="1"/>
  <c r="O702" i="1"/>
  <c r="O647" i="1"/>
  <c r="O73" i="1"/>
  <c r="O478" i="1"/>
  <c r="M478" i="1" s="1"/>
  <c r="O939" i="1"/>
  <c r="H939" i="1" s="1"/>
  <c r="O2" i="1"/>
  <c r="O99" i="1"/>
  <c r="O609" i="1"/>
  <c r="L609" i="1" s="1"/>
  <c r="O199" i="1"/>
  <c r="H199" i="1" s="1"/>
  <c r="O211" i="1"/>
  <c r="O413" i="1"/>
  <c r="O3" i="1"/>
  <c r="K3" i="1" s="1"/>
  <c r="O407" i="1"/>
  <c r="N407" i="1" s="1"/>
  <c r="O956" i="1"/>
  <c r="O98" i="1"/>
  <c r="O87" i="1"/>
  <c r="H87" i="1" s="1"/>
  <c r="O419" i="1"/>
  <c r="N419" i="1" s="1"/>
  <c r="O651" i="1"/>
  <c r="L651" i="1" s="1"/>
  <c r="O558" i="1"/>
  <c r="J558" i="1" s="1"/>
  <c r="O202" i="1"/>
  <c r="O359" i="1"/>
  <c r="O543" i="1"/>
  <c r="O205" i="1"/>
  <c r="O204" i="1"/>
  <c r="N204" i="1" s="1"/>
  <c r="O385" i="1"/>
  <c r="O650" i="1"/>
  <c r="P650" i="1" s="1"/>
  <c r="O404" i="1"/>
  <c r="O740" i="1"/>
  <c r="O812" i="1"/>
  <c r="H812" i="1" s="1"/>
  <c r="O209" i="1"/>
  <c r="O624" i="1"/>
  <c r="H624" i="1" s="1"/>
  <c r="O254" i="1"/>
  <c r="O207" i="1"/>
  <c r="N207" i="1" s="1"/>
  <c r="O305" i="1"/>
  <c r="H305" i="1" s="1"/>
  <c r="O41" i="1"/>
  <c r="J41" i="1" s="1"/>
  <c r="O686" i="1"/>
  <c r="H686" i="1" s="1"/>
  <c r="O107" i="1"/>
  <c r="L107" i="1" s="1"/>
  <c r="O163" i="1"/>
  <c r="O531" i="1"/>
  <c r="I531" i="1" s="1"/>
  <c r="O68" i="1"/>
  <c r="M68" i="1" s="1"/>
  <c r="O784" i="1"/>
  <c r="O426" i="1"/>
  <c r="N426" i="1" s="1"/>
  <c r="O921" i="1"/>
  <c r="O667" i="1"/>
  <c r="O64" i="1"/>
  <c r="O119" i="1"/>
  <c r="I119" i="1" s="1"/>
  <c r="O25" i="1"/>
  <c r="P25" i="1" s="1"/>
  <c r="O29" i="1"/>
  <c r="L29" i="1" s="1"/>
  <c r="O30" i="1"/>
  <c r="O40" i="1"/>
  <c r="L40" i="1" s="1"/>
  <c r="O11" i="1"/>
  <c r="P11" i="1" s="1"/>
  <c r="O12" i="1"/>
  <c r="O10" i="1"/>
  <c r="P10" i="1" s="1"/>
  <c r="O55" i="1"/>
  <c r="O14" i="1"/>
  <c r="O9" i="1"/>
  <c r="M9" i="1" s="1"/>
  <c r="O36" i="1"/>
  <c r="H36" i="1" s="1"/>
  <c r="O16" i="1"/>
  <c r="O34" i="1"/>
  <c r="P34" i="1" s="1"/>
  <c r="O19" i="1"/>
  <c r="P19" i="1" s="1"/>
  <c r="O43" i="1"/>
  <c r="P43" i="1" s="1"/>
  <c r="O135" i="1"/>
  <c r="I135" i="1" s="1"/>
  <c r="O18" i="1"/>
  <c r="O38" i="1"/>
  <c r="O8" i="1"/>
  <c r="L8" i="1" s="1"/>
  <c r="O7" i="1"/>
  <c r="O24" i="1"/>
  <c r="O28" i="1"/>
  <c r="P28" i="1" s="1"/>
  <c r="O6" i="1"/>
  <c r="L6" i="1" s="1"/>
  <c r="O17" i="1"/>
  <c r="O32" i="1"/>
  <c r="O59" i="1"/>
  <c r="O5" i="1"/>
  <c r="O15" i="1"/>
  <c r="O44" i="1"/>
  <c r="P44" i="1" s="1"/>
  <c r="O21" i="1"/>
  <c r="M21" i="1" s="1"/>
  <c r="O42" i="1"/>
  <c r="O37" i="1"/>
  <c r="O22" i="1"/>
  <c r="M22" i="1" s="1"/>
  <c r="O27" i="1"/>
  <c r="J27" i="1" s="1"/>
  <c r="O31" i="1"/>
  <c r="M31" i="1" s="1"/>
  <c r="O23" i="1"/>
  <c r="H23" i="1" s="1"/>
  <c r="O62" i="1"/>
  <c r="O33" i="1"/>
  <c r="J33" i="1" s="1"/>
  <c r="O45" i="1"/>
  <c r="O4" i="1"/>
  <c r="P4" i="1" s="1"/>
  <c r="O20" i="1"/>
  <c r="I20" i="1" s="1"/>
  <c r="O60" i="1"/>
  <c r="K60" i="1" s="1"/>
  <c r="O866" i="1"/>
  <c r="H866" i="1" s="1"/>
  <c r="Y866" i="1"/>
  <c r="Y60" i="1"/>
  <c r="Y20" i="1"/>
  <c r="Y4" i="1"/>
  <c r="Y45" i="1"/>
  <c r="Y33" i="1"/>
  <c r="Y62" i="1"/>
  <c r="Y23" i="1"/>
  <c r="Y31" i="1"/>
  <c r="Y27" i="1"/>
  <c r="Y22" i="1"/>
  <c r="Y37" i="1"/>
  <c r="Y42" i="1"/>
  <c r="Y21" i="1"/>
  <c r="Y44" i="1"/>
  <c r="Y15" i="1"/>
  <c r="Y5" i="1"/>
  <c r="Y59" i="1"/>
  <c r="Y32" i="1"/>
  <c r="Y17" i="1"/>
  <c r="Y6" i="1"/>
  <c r="Y28" i="1"/>
  <c r="Y24" i="1"/>
  <c r="Y7" i="1"/>
  <c r="Y8" i="1"/>
  <c r="Y38" i="1"/>
  <c r="Y18" i="1"/>
  <c r="Y135" i="1"/>
  <c r="Y43" i="1"/>
  <c r="Y19" i="1"/>
  <c r="Y34" i="1"/>
  <c r="Y16" i="1"/>
  <c r="Y36" i="1"/>
  <c r="Y9" i="1"/>
  <c r="Y14" i="1"/>
  <c r="Y55" i="1"/>
  <c r="Y10" i="1"/>
  <c r="Y12" i="1"/>
  <c r="Y11" i="1"/>
  <c r="Y40" i="1"/>
  <c r="Y30" i="1"/>
  <c r="Y29" i="1"/>
  <c r="Y25" i="1"/>
  <c r="Y119" i="1"/>
  <c r="Y64" i="1"/>
  <c r="Y667" i="1"/>
  <c r="Y921" i="1"/>
  <c r="Y426" i="1"/>
  <c r="Y784" i="1"/>
  <c r="Y68" i="1"/>
  <c r="Y531" i="1"/>
  <c r="Y163" i="1"/>
  <c r="C686" i="1"/>
  <c r="Y686" i="1"/>
  <c r="Y41" i="1"/>
  <c r="Y305" i="1"/>
  <c r="Y207" i="1"/>
  <c r="Y254" i="1"/>
  <c r="Y624" i="1"/>
  <c r="Y209" i="1"/>
  <c r="Y812" i="1"/>
  <c r="Y740" i="1"/>
  <c r="Y404" i="1"/>
  <c r="Y650" i="1"/>
  <c r="Y385" i="1"/>
  <c r="Y204" i="1"/>
  <c r="Y205" i="1"/>
  <c r="Y543" i="1"/>
  <c r="Y359" i="1"/>
  <c r="Y202" i="1"/>
  <c r="Y558" i="1"/>
  <c r="Y651" i="1"/>
  <c r="Y419" i="1"/>
  <c r="Y87" i="1"/>
  <c r="Y98" i="1"/>
  <c r="Y956" i="1"/>
  <c r="Y407" i="1"/>
  <c r="Y3" i="1"/>
  <c r="Y413" i="1"/>
  <c r="Y211" i="1"/>
  <c r="Y199" i="1"/>
  <c r="Y609" i="1"/>
  <c r="Y99" i="1"/>
  <c r="Y2" i="1"/>
  <c r="Y939" i="1"/>
  <c r="Y478" i="1"/>
  <c r="Y73" i="1"/>
  <c r="Y647" i="1"/>
  <c r="Y702" i="1"/>
  <c r="Y703" i="1"/>
  <c r="Y704" i="1"/>
  <c r="Y705" i="1"/>
  <c r="Y193" i="1"/>
  <c r="Y779" i="1"/>
  <c r="Y400" i="1"/>
  <c r="Y394" i="1"/>
  <c r="Y376" i="1"/>
  <c r="Y701" i="1"/>
  <c r="Y815" i="1"/>
  <c r="Y418" i="1"/>
  <c r="Y755" i="1"/>
  <c r="Y91" i="1"/>
  <c r="Y597" i="1"/>
  <c r="Y510" i="1"/>
  <c r="Y323" i="1"/>
  <c r="Y245" i="1"/>
  <c r="Y516" i="1"/>
  <c r="Y930" i="1"/>
  <c r="Y525" i="1"/>
  <c r="Y668" i="1"/>
  <c r="Y788" i="1"/>
  <c r="Y421" i="1"/>
  <c r="Y915" i="1"/>
  <c r="Y766" i="1"/>
  <c r="Y451" i="1"/>
  <c r="Y880" i="1"/>
  <c r="Y425" i="1"/>
  <c r="Y230" i="1"/>
  <c r="Y835" i="1"/>
  <c r="Y611" i="1"/>
  <c r="Y422" i="1"/>
  <c r="Y183" i="1"/>
  <c r="Y234" i="1"/>
  <c r="Y395" i="1"/>
  <c r="Y216" i="1"/>
  <c r="Y401" i="1"/>
  <c r="Y807" i="1"/>
  <c r="Y185" i="1"/>
  <c r="Y416" i="1"/>
  <c r="Y773" i="1"/>
  <c r="Y154" i="1"/>
  <c r="Y816" i="1"/>
  <c r="Y349" i="1"/>
  <c r="Y508" i="1"/>
  <c r="Y495" i="1"/>
  <c r="Y562" i="1"/>
  <c r="Y933" i="1"/>
  <c r="Y452" i="1"/>
  <c r="Y332" i="1"/>
  <c r="Y268" i="1"/>
  <c r="Y967" i="1"/>
  <c r="Y308" i="1"/>
  <c r="Y377" i="1"/>
  <c r="Y88" i="1"/>
  <c r="Y874" i="1"/>
  <c r="Y115" i="1"/>
  <c r="Y243" i="1"/>
  <c r="Y270" i="1"/>
  <c r="Y671" i="1"/>
  <c r="Y294" i="1"/>
  <c r="Y916" i="1"/>
  <c r="Y455" i="1"/>
  <c r="Y548" i="1"/>
  <c r="Y696" i="1"/>
  <c r="Y355" i="1"/>
  <c r="Y354" i="1"/>
  <c r="Y492" i="1"/>
  <c r="Y291" i="1"/>
  <c r="Y261" i="1"/>
  <c r="Y795" i="1"/>
  <c r="Y590" i="1"/>
  <c r="Y390" i="1"/>
  <c r="Y281" i="1"/>
  <c r="Y593" i="1"/>
  <c r="Y72" i="1"/>
  <c r="Y476" i="1"/>
  <c r="Y215" i="1"/>
  <c r="Y181" i="1"/>
  <c r="Y976" i="1"/>
  <c r="Y262" i="1"/>
  <c r="Y553" i="1"/>
  <c r="Y872" i="1"/>
  <c r="Y790" i="1"/>
  <c r="Y196" i="1"/>
  <c r="Y431" i="1"/>
  <c r="Y168" i="1"/>
  <c r="Y734" i="1"/>
  <c r="Y113" i="1"/>
  <c r="Y634" i="1"/>
  <c r="Y600" i="1"/>
  <c r="Y746" i="1"/>
  <c r="Y358" i="1"/>
  <c r="Y959" i="1"/>
  <c r="Y780" i="1"/>
  <c r="Y148" i="1"/>
  <c r="Y902" i="1"/>
  <c r="Y838" i="1"/>
  <c r="Y653" i="1"/>
  <c r="Y659" i="1"/>
  <c r="Y545" i="1"/>
  <c r="Y246" i="1"/>
  <c r="Y664" i="1"/>
  <c r="Y547" i="1"/>
  <c r="Y497" i="1"/>
  <c r="Y342" i="1"/>
  <c r="Y341" i="1"/>
  <c r="Y839" i="1"/>
  <c r="Y464" i="1"/>
  <c r="Y182" i="1"/>
  <c r="Y821" i="1"/>
  <c r="Y587" i="1"/>
  <c r="Y966" i="1"/>
  <c r="Y876" i="1"/>
  <c r="Y955" i="1"/>
  <c r="Y187" i="1"/>
  <c r="Y481" i="1"/>
  <c r="Y156" i="1"/>
  <c r="Y941" i="1"/>
  <c r="Y439" i="1"/>
  <c r="Y121" i="1"/>
  <c r="Y683" i="1"/>
  <c r="Y693" i="1"/>
  <c r="Y763" i="1"/>
  <c r="Y764" i="1"/>
  <c r="Y782" i="1"/>
  <c r="Y951" i="1"/>
  <c r="Y943" i="1"/>
  <c r="Y315" i="1"/>
  <c r="Y666" i="1"/>
  <c r="Y356" i="1"/>
  <c r="Y122" i="1"/>
  <c r="Y194" i="1"/>
  <c r="Y195" i="1"/>
  <c r="Y803" i="1"/>
  <c r="Y893" i="1"/>
  <c r="Y264" i="1"/>
  <c r="Y123" i="1"/>
  <c r="Y371" i="1"/>
  <c r="Y946" i="1"/>
  <c r="Y731" i="1"/>
  <c r="Y432" i="1"/>
  <c r="Y963" i="1"/>
  <c r="Y318" i="1"/>
  <c r="Y680" i="1"/>
  <c r="Y857" i="1"/>
  <c r="Y109" i="1"/>
  <c r="Y114" i="1"/>
  <c r="Y631" i="1"/>
  <c r="Y969" i="1"/>
  <c r="Y772" i="1"/>
  <c r="Y409" i="1"/>
  <c r="Y751" i="1"/>
  <c r="Y802" i="1"/>
  <c r="Y672" i="1"/>
  <c r="Y756" i="1"/>
  <c r="Y899" i="1"/>
  <c r="Y278" i="1"/>
  <c r="Y124" i="1"/>
  <c r="Y513" i="1"/>
  <c r="Y817" i="1"/>
  <c r="Y474" i="1"/>
  <c r="Y435" i="1"/>
  <c r="Y654" i="1"/>
  <c r="Y344" i="1"/>
  <c r="Y669" i="1"/>
  <c r="Y883" i="1"/>
  <c r="Y851" i="1"/>
  <c r="Y752" i="1"/>
  <c r="Y267" i="1"/>
  <c r="Y306" i="1"/>
  <c r="Y302" i="1"/>
  <c r="Y852" i="1"/>
  <c r="Y655" i="1"/>
  <c r="Y471" i="1"/>
  <c r="Y799" i="1"/>
  <c r="Y886" i="1"/>
  <c r="Y800" i="1"/>
  <c r="Y822" i="1"/>
  <c r="Y775" i="1"/>
  <c r="Y776" i="1"/>
  <c r="Y789" i="1"/>
  <c r="Y777" i="1"/>
  <c r="Y794" i="1"/>
  <c r="Y971" i="1"/>
  <c r="Y447" i="1"/>
  <c r="Y918" i="1"/>
  <c r="Y310" i="1"/>
  <c r="Y312" i="1"/>
  <c r="Y415" i="1"/>
  <c r="Y652" i="1"/>
  <c r="Y561" i="1"/>
  <c r="Y768" i="1"/>
  <c r="Y952" i="1"/>
  <c r="Y797" i="1"/>
  <c r="Y351" i="1"/>
  <c r="Y326" i="1"/>
  <c r="Y198" i="1"/>
  <c r="Y466" i="1"/>
  <c r="Y646" i="1"/>
  <c r="Y748" i="1"/>
  <c r="Y486" i="1"/>
  <c r="Y643" i="1"/>
  <c r="Y753" i="1"/>
  <c r="Y644" i="1"/>
  <c r="Y663" i="1"/>
  <c r="Y411" i="1"/>
  <c r="Y735" i="1"/>
  <c r="Y335" i="1"/>
  <c r="Y346" i="1"/>
  <c r="Y345" i="1"/>
  <c r="Y588" i="1"/>
  <c r="Y340" i="1"/>
  <c r="Y908" i="1"/>
  <c r="Y336" i="1"/>
  <c r="Y403" i="1"/>
  <c r="Y370" i="1"/>
  <c r="Y434" i="1"/>
  <c r="Y475" i="1"/>
  <c r="Y265" i="1"/>
  <c r="Y408" i="1"/>
  <c r="Y958" i="1"/>
  <c r="Y849" i="1"/>
  <c r="Y450" i="1"/>
  <c r="Y556" i="1"/>
  <c r="Y828" i="1"/>
  <c r="Y691" i="1"/>
  <c r="Y372" i="1"/>
  <c r="Y938" i="1"/>
  <c r="Y968" i="1"/>
  <c r="Y387" i="1"/>
  <c r="Y504" i="1"/>
  <c r="Y252" i="1"/>
  <c r="Y778" i="1"/>
  <c r="Y173" i="1"/>
  <c r="Y953" i="1"/>
  <c r="Y282" i="1"/>
  <c r="Y656" i="1"/>
  <c r="Y314" i="1"/>
  <c r="Y964" i="1"/>
  <c r="Y676" i="1"/>
  <c r="Y642" i="1"/>
  <c r="Y791" i="1"/>
  <c r="Y875" i="1"/>
  <c r="Y46" i="1"/>
  <c r="Y92" i="1"/>
  <c r="Y678" i="1"/>
  <c r="Y679" i="1"/>
  <c r="Y845" i="1"/>
  <c r="Y867" i="1"/>
  <c r="Y793" i="1"/>
  <c r="Y813" i="1"/>
  <c r="Y149" i="1"/>
  <c r="Y482" i="1"/>
  <c r="Y467" i="1"/>
  <c r="Y891" i="1"/>
  <c r="Y761" i="1"/>
  <c r="Y406" i="1"/>
  <c r="Y825" i="1"/>
  <c r="Y369" i="1"/>
  <c r="Y93" i="1"/>
  <c r="Y942" i="1"/>
  <c r="Y787" i="1"/>
  <c r="Y635" i="1"/>
  <c r="Y881" i="1"/>
  <c r="Y767" i="1"/>
  <c r="Y970" i="1"/>
  <c r="Y836" i="1"/>
  <c r="Y90" i="1"/>
  <c r="Y974" i="1"/>
  <c r="Y250" i="1"/>
  <c r="Y218" i="1"/>
  <c r="Y238" i="1"/>
  <c r="Y260" i="1"/>
  <c r="Y269" i="1"/>
  <c r="Y658" i="1"/>
  <c r="C13" i="1"/>
  <c r="Y39" i="1"/>
  <c r="Y241" i="1"/>
  <c r="Y333" i="1"/>
  <c r="Y272" i="1"/>
  <c r="Y832" i="1"/>
  <c r="Y854" i="1"/>
  <c r="Y760" i="1"/>
  <c r="Y448" i="1"/>
  <c r="Y737" i="1"/>
  <c r="Y240" i="1"/>
  <c r="Y128" i="1"/>
  <c r="Y317" i="1"/>
  <c r="Y468" i="1"/>
  <c r="Y707" i="1"/>
  <c r="Y309" i="1"/>
  <c r="Y830" i="1"/>
  <c r="Y783" i="1"/>
  <c r="Y263" i="1"/>
  <c r="Y745" i="1"/>
  <c r="Y632" i="1"/>
  <c r="Y287" i="1"/>
  <c r="Y398" i="1"/>
  <c r="Y329" i="1"/>
  <c r="Y682" i="1"/>
  <c r="Y217" i="1"/>
  <c r="Y213" i="1"/>
  <c r="Y288" i="1"/>
  <c r="Y896" i="1"/>
  <c r="Y865" i="1"/>
  <c r="Y900" i="1"/>
  <c r="Y313" i="1"/>
  <c r="Y392" i="1"/>
  <c r="Y330" i="1"/>
  <c r="Y965" i="1"/>
  <c r="Y736" i="1"/>
  <c r="Y188" i="1"/>
  <c r="Y286" i="1"/>
  <c r="Y201" i="1"/>
  <c r="Y979" i="1"/>
  <c r="Y695" i="1"/>
  <c r="Y327" i="1"/>
  <c r="Y338" i="1"/>
  <c r="Y820" i="1"/>
  <c r="Y824" i="1"/>
  <c r="Y957" i="1"/>
  <c r="Y101" i="1"/>
  <c r="Y179" i="1"/>
  <c r="Y74" i="1"/>
  <c r="Y446" i="1"/>
  <c r="Y972" i="1"/>
  <c r="Y160" i="1"/>
  <c r="Y84" i="1"/>
  <c r="Y437" i="1"/>
  <c r="Y125" i="1"/>
  <c r="Y157" i="1"/>
  <c r="Y158" i="1"/>
  <c r="Y657" i="1"/>
  <c r="Y861" i="1"/>
  <c r="Y585" i="1"/>
  <c r="Y948" i="1"/>
  <c r="Y75" i="1"/>
  <c r="Y244" i="1"/>
  <c r="Y645" i="1"/>
  <c r="Y575" i="1"/>
  <c r="Y546" i="1"/>
  <c r="Y754" i="1"/>
  <c r="Y827" i="1"/>
  <c r="Y560" i="1"/>
  <c r="Y410" i="1"/>
  <c r="Y573" i="1"/>
  <c r="Y884" i="1"/>
  <c r="Y864" i="1"/>
  <c r="Y220" i="1"/>
  <c r="Y118" i="1"/>
  <c r="Y112" i="1"/>
  <c r="Y212" i="1"/>
  <c r="Y290" i="1"/>
  <c r="Y389" i="1"/>
  <c r="Y89" i="1"/>
  <c r="Y733" i="1"/>
  <c r="Y723" i="1"/>
  <c r="Y724" i="1"/>
  <c r="Y388" i="1"/>
  <c r="Y856" i="1"/>
  <c r="Y728" i="1"/>
  <c r="Y489" i="1"/>
  <c r="Y459" i="1"/>
  <c r="Y522" i="1"/>
  <c r="Y757" i="1"/>
  <c r="Y503" i="1"/>
  <c r="Y944" i="1"/>
  <c r="Y897" i="1"/>
  <c r="Y945" i="1"/>
  <c r="Y57" i="1"/>
  <c r="Y139" i="1"/>
  <c r="Y811" i="1"/>
  <c r="Y347" i="1"/>
  <c r="Y184" i="1"/>
  <c r="Y298" i="1"/>
  <c r="Y159" i="1"/>
  <c r="Y711" i="1"/>
  <c r="Y177" i="1"/>
  <c r="Y248" i="1"/>
  <c r="Y249" i="1"/>
  <c r="Y472" i="1"/>
  <c r="Y130" i="1"/>
  <c r="Y638" i="1"/>
  <c r="Y639" i="1"/>
  <c r="Y640" i="1"/>
  <c r="Y641" i="1"/>
  <c r="Y665" i="1"/>
  <c r="Y563" i="1"/>
  <c r="Y564" i="1"/>
  <c r="Y565" i="1"/>
  <c r="Y566" i="1"/>
  <c r="Y567" i="1"/>
  <c r="Y568" i="1"/>
  <c r="Y569" i="1"/>
  <c r="Y570" i="1"/>
  <c r="Y571" i="1"/>
  <c r="Y870" i="1"/>
  <c r="Y911" i="1"/>
  <c r="Y444" i="1"/>
  <c r="Y322" i="1"/>
  <c r="Y786" i="1"/>
  <c r="Y228" i="1"/>
  <c r="Y103" i="1"/>
  <c r="Y905" i="1"/>
  <c r="Y462" i="1"/>
  <c r="Y438" i="1"/>
  <c r="Y770" i="1"/>
  <c r="Y920" i="1"/>
  <c r="Y907" i="1"/>
  <c r="Y108" i="1"/>
  <c r="Y105" i="1"/>
  <c r="Y818" i="1"/>
  <c r="Y627" i="1"/>
  <c r="Y628" i="1"/>
  <c r="Y257" i="1"/>
  <c r="Y698" i="1"/>
  <c r="Y922" i="1"/>
  <c r="Y208" i="1"/>
  <c r="Y477" i="1"/>
  <c r="Y909" i="1"/>
  <c r="Y926" i="1"/>
  <c r="Y500" i="1"/>
  <c r="Y501" i="1"/>
  <c r="Y961" i="1"/>
  <c r="Y842" i="1"/>
  <c r="Y785" i="1"/>
  <c r="Y726" i="1"/>
  <c r="Y906" i="1"/>
  <c r="Y798" i="1"/>
  <c r="Y934" i="1"/>
  <c r="Y759" i="1"/>
  <c r="Y841" i="1"/>
  <c r="Y808" i="1"/>
  <c r="Y826" i="1"/>
  <c r="Y732" i="1"/>
  <c r="Y362" i="1"/>
  <c r="Y925" i="1"/>
  <c r="Y225" i="1"/>
  <c r="Y393" i="1"/>
  <c r="Y428" i="1"/>
  <c r="Y429" i="1"/>
  <c r="Y353" i="1"/>
  <c r="Y227" i="1"/>
  <c r="Y280" i="1"/>
  <c r="Y296" i="1"/>
  <c r="Y749" i="1"/>
  <c r="Y846" i="1"/>
  <c r="Y730" i="1"/>
  <c r="Y871" i="1"/>
  <c r="Y887" i="1"/>
  <c r="Y806" i="1"/>
  <c r="Y738" i="1"/>
  <c r="Y774" i="1"/>
  <c r="Y739" i="1"/>
  <c r="Y186" i="1"/>
  <c r="Y662" i="1"/>
  <c r="Y214" i="1"/>
  <c r="Y189" i="1"/>
  <c r="Y923" i="1"/>
  <c r="Y833" i="1"/>
  <c r="Y898" i="1"/>
  <c r="Y273" i="1"/>
  <c r="Y801" i="1"/>
  <c r="Y76" i="1"/>
  <c r="Y625" i="1"/>
  <c r="Y885" i="1"/>
  <c r="Y924" i="1"/>
  <c r="Y960" i="1"/>
  <c r="Y940" i="1"/>
  <c r="C26" i="1"/>
  <c r="Y975" i="1"/>
  <c r="Y499" i="1"/>
  <c r="Y539" i="1"/>
  <c r="Y380" i="1"/>
  <c r="Y633" i="1"/>
  <c r="Y399" i="1"/>
  <c r="Y239" i="1"/>
  <c r="Y226" i="1"/>
  <c r="Y303" i="1"/>
  <c r="Y266" i="1"/>
  <c r="Y301" i="1"/>
  <c r="Y258" i="1"/>
  <c r="Y224" i="1"/>
  <c r="Y247" i="1"/>
  <c r="Y276" i="1"/>
  <c r="Y197" i="1"/>
  <c r="Y932" i="1"/>
  <c r="Y577" i="1"/>
  <c r="Y578" i="1"/>
  <c r="Y579" i="1"/>
  <c r="Y580" i="1"/>
  <c r="Y853" i="1"/>
  <c r="Y722" i="1"/>
  <c r="Y456" i="1"/>
  <c r="Y65" i="1"/>
  <c r="Y106" i="1"/>
  <c r="Y77" i="1"/>
  <c r="Y271" i="1"/>
  <c r="Y901" i="1"/>
  <c r="Y494" i="1"/>
  <c r="Y490" i="1"/>
  <c r="Y892" i="1"/>
  <c r="Y954" i="1"/>
  <c r="Y164" i="1"/>
  <c r="Y977" i="1"/>
  <c r="Y430" i="1"/>
  <c r="Y78" i="1"/>
  <c r="Y79" i="1"/>
  <c r="Y363" i="1"/>
  <c r="Y809" i="1"/>
  <c r="Y484" i="1"/>
  <c r="Y161" i="1"/>
  <c r="Y844" i="1"/>
  <c r="Y279" i="1"/>
  <c r="Y502" i="1"/>
  <c r="Y717" i="1"/>
  <c r="Y552" i="1"/>
  <c r="Y180" i="1"/>
  <c r="Y843" i="1"/>
  <c r="Y792" i="1"/>
  <c r="Y458" i="1"/>
  <c r="Y673" i="1"/>
  <c r="Y823" i="1"/>
  <c r="Y648" i="1"/>
  <c r="Y649" i="1"/>
  <c r="Y373" i="1"/>
  <c r="Y714" i="1"/>
  <c r="Y894" i="1"/>
  <c r="Y729" i="1"/>
  <c r="Y718" i="1"/>
  <c r="Y747" i="1"/>
  <c r="Y479" i="1"/>
  <c r="Y311" i="1"/>
  <c r="Y719" i="1"/>
  <c r="Y496" i="1"/>
  <c r="Y275" i="1"/>
  <c r="Y221" i="1"/>
  <c r="Y229" i="1"/>
  <c r="Y917" i="1"/>
  <c r="Y950" i="1"/>
  <c r="Y834" i="1"/>
  <c r="Y706" i="1"/>
  <c r="Y470" i="1"/>
  <c r="Y623" i="1"/>
  <c r="Y661" i="1"/>
  <c r="Y485" i="1"/>
  <c r="Y368" i="1"/>
  <c r="Y364" i="1"/>
  <c r="Y384" i="1"/>
  <c r="Y379" i="1"/>
  <c r="Y576" i="1"/>
  <c r="Y610" i="1"/>
  <c r="Y111" i="1"/>
  <c r="Y532" i="1"/>
  <c r="Y480" i="1"/>
  <c r="Y889" i="1"/>
  <c r="Y712" i="1"/>
  <c r="Y251" i="1"/>
  <c r="Y253" i="1"/>
  <c r="Y167" i="1"/>
  <c r="Y300" i="1"/>
  <c r="Y890" i="1"/>
  <c r="Y378" i="1"/>
  <c r="Y402" i="1"/>
  <c r="Y200" i="1"/>
  <c r="Y694" i="1"/>
  <c r="Y334" i="1"/>
  <c r="Y289" i="1"/>
  <c r="Y350" i="1"/>
  <c r="Y320" i="1"/>
  <c r="Y321" i="1"/>
  <c r="Y457" i="1"/>
  <c r="Y506" i="1"/>
  <c r="Y574" i="1"/>
  <c r="Y713" i="1"/>
  <c r="Y433" i="1"/>
  <c r="Y222" i="1"/>
  <c r="Y174" i="1"/>
  <c r="Y237" i="1"/>
  <c r="Y427" i="1"/>
  <c r="Y463" i="1"/>
  <c r="Y259" i="1"/>
  <c r="Y412" i="1"/>
  <c r="Y277" i="1"/>
  <c r="Y533" i="1"/>
  <c r="Y877" i="1"/>
  <c r="Y235" i="1"/>
  <c r="Y360" i="1"/>
  <c r="Y888" i="1"/>
  <c r="Y572" i="1"/>
  <c r="Y980" i="1"/>
  <c r="Y549" i="1"/>
  <c r="Y460" i="1"/>
  <c r="Y483" i="1"/>
  <c r="Y242" i="1"/>
  <c r="Y70" i="1"/>
  <c r="Y236" i="1"/>
  <c r="Y630" i="1"/>
  <c r="Y947" i="1"/>
  <c r="Y810" i="1"/>
  <c r="Y420" i="1"/>
  <c r="Y352" i="1"/>
  <c r="Y550" i="1"/>
  <c r="Y591" i="1"/>
  <c r="Y758" i="1"/>
  <c r="Y607" i="1"/>
  <c r="Y469" i="1"/>
  <c r="Y715" i="1"/>
  <c r="Y879" i="1"/>
  <c r="Y927" i="1"/>
  <c r="Y386" i="1"/>
  <c r="Y361" i="1"/>
  <c r="Y453" i="1"/>
  <c r="Y681" i="1"/>
  <c r="Y534" i="1"/>
  <c r="Y618" i="1"/>
  <c r="Y913" i="1"/>
  <c r="Y424" i="1"/>
  <c r="Y233" i="1"/>
  <c r="Y721" i="1"/>
  <c r="Y637" i="1"/>
  <c r="Y176" i="1"/>
  <c r="Y937" i="1"/>
  <c r="Y608" i="1"/>
  <c r="Y727" i="1"/>
  <c r="Y96" i="1"/>
  <c r="Y949" i="1"/>
  <c r="Y716" i="1"/>
  <c r="Y829" i="1"/>
  <c r="Y814" i="1"/>
  <c r="Y742" i="1"/>
  <c r="Y47" i="1"/>
  <c r="Y743" i="1"/>
  <c r="Y771" i="1"/>
  <c r="Y687" i="1"/>
  <c r="Y48" i="1"/>
  <c r="Y49" i="1"/>
  <c r="Y50" i="1"/>
  <c r="Y51" i="1"/>
  <c r="Y982" i="1"/>
  <c r="Y100" i="1"/>
  <c r="Y97" i="1"/>
  <c r="Y324" i="1"/>
  <c r="Y319" i="1"/>
  <c r="Y80" i="1"/>
  <c r="Y172" i="1"/>
  <c r="Y423" i="1"/>
  <c r="Y396" i="1"/>
  <c r="Y397" i="1"/>
  <c r="Y708" i="1"/>
  <c r="Y621" i="1"/>
  <c r="Y904" i="1"/>
  <c r="Y709" i="1"/>
  <c r="Y725" i="1"/>
  <c r="Y895" i="1"/>
  <c r="Y973" i="1"/>
  <c r="Y603" i="1"/>
  <c r="Y461" i="1"/>
  <c r="Y847" i="1"/>
  <c r="Y604" i="1"/>
  <c r="Y584" i="1"/>
  <c r="Y165" i="1"/>
  <c r="Y848" i="1"/>
  <c r="Y203" i="1"/>
  <c r="Y929" i="1"/>
  <c r="Y526" i="1"/>
  <c r="Y819" i="1"/>
  <c r="Y520" i="1"/>
  <c r="Y126" i="1"/>
  <c r="Y102" i="1"/>
  <c r="Y677" i="1"/>
  <c r="Y120" i="1"/>
  <c r="Y191" i="1"/>
  <c r="Y81" i="1"/>
  <c r="Y981" i="1"/>
  <c r="Y869" i="1"/>
  <c r="Y223" i="1"/>
  <c r="Y374" i="1"/>
  <c r="Y299" i="1"/>
  <c r="Y391" i="1"/>
  <c r="Y328" i="1"/>
  <c r="Y936" i="1"/>
  <c r="Y132" i="1"/>
  <c r="Y622" i="1"/>
  <c r="Y612" i="1"/>
  <c r="Y219" i="1"/>
  <c r="Y210" i="1"/>
  <c r="Y493" i="1"/>
  <c r="Y110" i="1"/>
  <c r="Y104" i="1"/>
  <c r="Y850" i="1"/>
  <c r="Y445" i="1"/>
  <c r="Y582" i="1"/>
  <c r="Y559" i="1"/>
  <c r="Y440" i="1"/>
  <c r="Y675" i="1"/>
  <c r="Y146" i="1"/>
  <c r="Y744" i="1"/>
  <c r="Y983" i="1"/>
  <c r="Y150" i="1"/>
  <c r="Y855" i="1"/>
  <c r="Y190" i="1"/>
  <c r="Y619" i="1"/>
  <c r="Y741" i="1"/>
  <c r="Y274" i="1"/>
  <c r="Y537" i="1"/>
  <c r="Y66" i="1"/>
  <c r="Y67" i="1"/>
  <c r="Y527" i="1"/>
  <c r="Y117" i="1"/>
  <c r="Y538" i="1"/>
  <c r="Y804" i="1"/>
  <c r="Y554" i="1"/>
  <c r="Y155" i="1"/>
  <c r="Y169" i="1"/>
  <c r="Y162" i="1"/>
  <c r="Y454" i="1"/>
  <c r="Y535" i="1"/>
  <c r="Y710" i="1"/>
  <c r="Y94" i="1"/>
  <c r="Y616" i="1"/>
  <c r="Y491" i="1"/>
  <c r="Y555" i="1"/>
  <c r="Y636" i="1"/>
  <c r="Y166" i="1"/>
  <c r="Y171" i="1"/>
  <c r="Y151" i="1"/>
  <c r="Y192" i="1"/>
  <c r="Y509" i="1"/>
  <c r="Y473" i="1"/>
  <c r="Y837" i="1"/>
  <c r="Y343" i="1"/>
  <c r="Y129" i="1"/>
  <c r="Y873" i="1"/>
  <c r="Y153" i="1"/>
  <c r="Y85" i="1"/>
  <c r="Y86" i="1"/>
  <c r="Y962" i="1"/>
  <c r="Y878" i="1"/>
  <c r="Y978" i="1"/>
  <c r="Y383" i="1"/>
  <c r="Y292" i="1"/>
  <c r="Y685" i="1"/>
  <c r="Y297" i="1"/>
  <c r="Y331" i="1"/>
  <c r="Y405" i="1"/>
  <c r="Y337" i="1"/>
  <c r="Y417" i="1"/>
  <c r="Y206" i="1"/>
  <c r="Y375" i="1"/>
  <c r="Y357" i="1"/>
  <c r="Y365" i="1"/>
  <c r="Y436" i="1"/>
  <c r="Y488" i="1"/>
  <c r="Y293" i="1"/>
  <c r="Y594" i="1"/>
  <c r="Y586" i="1"/>
  <c r="Y325" i="1"/>
  <c r="Y295" i="1"/>
  <c r="Y366" i="1"/>
  <c r="Y487" i="1"/>
  <c r="Y465" i="1"/>
  <c r="Y507" i="1"/>
  <c r="Y307" i="1"/>
  <c r="Y339" i="1"/>
  <c r="Y283" i="1"/>
  <c r="Y285" i="1"/>
  <c r="Y912" i="1"/>
  <c r="Y127" i="1"/>
  <c r="Y514" i="1"/>
  <c r="Y52" i="1"/>
  <c r="Y541" i="1"/>
  <c r="Y868" i="1"/>
  <c r="Y367" i="1"/>
  <c r="Y882" i="1"/>
  <c r="Y316" i="1"/>
  <c r="Y551" i="1"/>
  <c r="Y699" i="1"/>
  <c r="Y592" i="1"/>
  <c r="Y750" i="1"/>
  <c r="Y765" i="1"/>
  <c r="Y35" i="1"/>
  <c r="Y540" i="1"/>
  <c r="Y613" i="1"/>
  <c r="Y614" i="1"/>
  <c r="Y170" i="1"/>
  <c r="Y615" i="1"/>
  <c r="Y928" i="1"/>
  <c r="Y674" i="1"/>
  <c r="Y505" i="1"/>
  <c r="Y136" i="1"/>
  <c r="Y530" i="1"/>
  <c r="Y63" i="1"/>
  <c r="Y935" i="1"/>
  <c r="Y620" i="1"/>
  <c r="Y796" i="1"/>
  <c r="Y284" i="1"/>
  <c r="Y859" i="1"/>
  <c r="Y692" i="1"/>
  <c r="Y860" i="1"/>
  <c r="Y805" i="1"/>
  <c r="Y544" i="1"/>
  <c r="Y583" i="1"/>
  <c r="Y690" i="1"/>
  <c r="Y137" i="1"/>
  <c r="Y602" i="1"/>
  <c r="Y152" i="1"/>
  <c r="Y178" i="1"/>
  <c r="Y232" i="1"/>
  <c r="Y147" i="1"/>
  <c r="Y512" i="1"/>
  <c r="Y931" i="1"/>
  <c r="Y144" i="1"/>
  <c r="Y581" i="1"/>
  <c r="Y140" i="1"/>
  <c r="Y515" i="1"/>
  <c r="Y523" i="1"/>
  <c r="Y689" i="1"/>
  <c r="Y441" i="1"/>
  <c r="Y528" i="1"/>
  <c r="Y256" i="1"/>
  <c r="Y781" i="1"/>
  <c r="Y348" i="1"/>
  <c r="Y255" i="1"/>
  <c r="Y304" i="1"/>
  <c r="Y557" i="1"/>
  <c r="Y449" i="1"/>
  <c r="Y82" i="1"/>
  <c r="Y83" i="1"/>
  <c r="Y521" i="1"/>
  <c r="Y142" i="1"/>
  <c r="Y831" i="1"/>
  <c r="Y598" i="1"/>
  <c r="Y599" i="1"/>
  <c r="Y536" i="1"/>
  <c r="Y862" i="1"/>
  <c r="Y53" i="1"/>
  <c r="Y54" i="1"/>
  <c r="Y840" i="1"/>
  <c r="Y529" i="1"/>
  <c r="Y670" i="1"/>
  <c r="Y519" i="1"/>
  <c r="Y589" i="1"/>
  <c r="Y517" i="1"/>
  <c r="Y498" i="1"/>
  <c r="Y131" i="1"/>
  <c r="Y138" i="1"/>
  <c r="Y141" i="1"/>
  <c r="Y524" i="1"/>
  <c r="Y143" i="1"/>
  <c r="Y914" i="1"/>
  <c r="Y688" i="1"/>
  <c r="Y518" i="1"/>
  <c r="Y381" i="1"/>
  <c r="Y231" i="1"/>
  <c r="Y382" i="1"/>
  <c r="Y414" i="1"/>
  <c r="Y56" i="1"/>
  <c r="Y61" i="1"/>
  <c r="Y697" i="1"/>
  <c r="Y116" i="1"/>
  <c r="Y145" i="1"/>
  <c r="Y511" i="1"/>
  <c r="Y175" i="1"/>
  <c r="Y762" i="1"/>
  <c r="Y542" i="1"/>
  <c r="H941" i="1" l="1"/>
  <c r="H53" i="1"/>
  <c r="K53" i="1"/>
  <c r="L87" i="1"/>
  <c r="H751" i="1"/>
  <c r="I278" i="1"/>
  <c r="M454" i="1"/>
  <c r="H454" i="1"/>
  <c r="N807" i="1"/>
  <c r="L432" i="1"/>
  <c r="H826" i="1"/>
  <c r="K826" i="1"/>
  <c r="N306" i="1"/>
  <c r="L738" i="1"/>
  <c r="N982" i="1"/>
  <c r="I674" i="1"/>
  <c r="L298" i="1"/>
  <c r="H248" i="1"/>
  <c r="I950" i="1"/>
  <c r="J491" i="1"/>
  <c r="K8" i="1"/>
  <c r="M115" i="1"/>
  <c r="I903" i="1"/>
  <c r="M903" i="1"/>
  <c r="H115" i="1"/>
  <c r="L921" i="1"/>
  <c r="L105" i="1"/>
  <c r="L949" i="1"/>
  <c r="H921" i="1"/>
  <c r="K614" i="1"/>
  <c r="H45" i="1"/>
  <c r="J34" i="1"/>
  <c r="I9" i="1"/>
  <c r="J198" i="1"/>
  <c r="K737" i="1"/>
  <c r="I315" i="1"/>
  <c r="M230" i="1"/>
  <c r="I737" i="1"/>
  <c r="I454" i="1"/>
  <c r="K454" i="1"/>
  <c r="K762" i="1"/>
  <c r="N60" i="1"/>
  <c r="K40" i="1"/>
  <c r="L13" i="1"/>
  <c r="K13" i="1"/>
  <c r="L19" i="1"/>
  <c r="L260" i="1"/>
  <c r="J260" i="1"/>
  <c r="H260" i="1"/>
  <c r="L62" i="1"/>
  <c r="M36" i="1"/>
  <c r="J455" i="1"/>
  <c r="L513" i="1"/>
  <c r="K513" i="1"/>
  <c r="J522" i="1"/>
  <c r="L588" i="1"/>
  <c r="N974" i="1"/>
  <c r="M974" i="1"/>
  <c r="K432" i="1"/>
  <c r="K867" i="1"/>
  <c r="J867" i="1"/>
  <c r="J759" i="1"/>
  <c r="M759" i="1"/>
  <c r="H903" i="1"/>
  <c r="H225" i="1"/>
  <c r="M225" i="1"/>
  <c r="P111" i="1"/>
  <c r="I111" i="1"/>
  <c r="M111" i="1"/>
  <c r="K360" i="1"/>
  <c r="L360" i="1"/>
  <c r="K320" i="1"/>
  <c r="H320" i="1"/>
  <c r="H433" i="1"/>
  <c r="J603" i="1"/>
  <c r="K603" i="1"/>
  <c r="J235" i="1"/>
  <c r="H235" i="1"/>
  <c r="K937" i="1"/>
  <c r="L937" i="1"/>
  <c r="L551" i="1"/>
  <c r="K551" i="1"/>
  <c r="H937" i="1"/>
  <c r="I616" i="1"/>
  <c r="J616" i="1"/>
  <c r="K962" i="1"/>
  <c r="L962" i="1"/>
  <c r="H59" i="1"/>
  <c r="P24" i="1"/>
  <c r="K24" i="1"/>
  <c r="M55" i="1"/>
  <c r="N30" i="1"/>
  <c r="I30" i="1"/>
  <c r="N543" i="1"/>
  <c r="H543" i="1"/>
  <c r="M543" i="1"/>
  <c r="K659" i="1"/>
  <c r="H659" i="1"/>
  <c r="I659" i="1"/>
  <c r="J14" i="1"/>
  <c r="K14" i="1"/>
  <c r="N413" i="1"/>
  <c r="J413" i="1"/>
  <c r="L413" i="1"/>
  <c r="J791" i="1"/>
  <c r="P421" i="1"/>
  <c r="L421" i="1"/>
  <c r="N763" i="1"/>
  <c r="I763" i="1"/>
  <c r="J763" i="1"/>
  <c r="I370" i="1"/>
  <c r="H813" i="1"/>
  <c r="M813" i="1"/>
  <c r="H20" i="1"/>
  <c r="H11" i="1"/>
  <c r="H30" i="1"/>
  <c r="L686" i="1"/>
  <c r="N168" i="1"/>
  <c r="K168" i="1"/>
  <c r="N93" i="1"/>
  <c r="K93" i="1"/>
  <c r="L270" i="1"/>
  <c r="H270" i="1"/>
  <c r="J951" i="1"/>
  <c r="N768" i="1"/>
  <c r="P768" i="1"/>
  <c r="N437" i="1"/>
  <c r="K437" i="1"/>
  <c r="I639" i="1"/>
  <c r="H426" i="1"/>
  <c r="N939" i="1"/>
  <c r="L701" i="1"/>
  <c r="H395" i="1"/>
  <c r="H746" i="1"/>
  <c r="L772" i="1"/>
  <c r="J772" i="1"/>
  <c r="H817" i="1"/>
  <c r="K817" i="1"/>
  <c r="N654" i="1"/>
  <c r="P654" i="1"/>
  <c r="K971" i="1"/>
  <c r="I971" i="1"/>
  <c r="I768" i="1"/>
  <c r="L92" i="1"/>
  <c r="I92" i="1"/>
  <c r="N92" i="1"/>
  <c r="I563" i="1"/>
  <c r="M563" i="1"/>
  <c r="K563" i="1"/>
  <c r="J340" i="1"/>
  <c r="N340" i="1"/>
  <c r="P489" i="1"/>
  <c r="K489" i="1"/>
  <c r="I489" i="1"/>
  <c r="H489" i="1"/>
  <c r="J876" i="1"/>
  <c r="N652" i="1"/>
  <c r="L272" i="1"/>
  <c r="J272" i="1"/>
  <c r="M179" i="1"/>
  <c r="H179" i="1"/>
  <c r="L712" i="1"/>
  <c r="K712" i="1"/>
  <c r="P161" i="1"/>
  <c r="I161" i="1"/>
  <c r="H161" i="1"/>
  <c r="L922" i="1"/>
  <c r="K63" i="1"/>
  <c r="I63" i="1"/>
  <c r="J35" i="1"/>
  <c r="I35" i="1"/>
  <c r="N35" i="1"/>
  <c r="H882" i="1"/>
  <c r="N882" i="1"/>
  <c r="J882" i="1"/>
  <c r="K882" i="1"/>
  <c r="J331" i="1"/>
  <c r="H331" i="1"/>
  <c r="L866" i="1"/>
  <c r="H60" i="1"/>
  <c r="K33" i="1"/>
  <c r="I31" i="1"/>
  <c r="K27" i="1"/>
  <c r="J19" i="1"/>
  <c r="L16" i="1"/>
  <c r="H55" i="1"/>
  <c r="H12" i="1"/>
  <c r="M30" i="1"/>
  <c r="H25" i="1"/>
  <c r="H68" i="1"/>
  <c r="N531" i="1"/>
  <c r="L204" i="1"/>
  <c r="J651" i="1"/>
  <c r="H413" i="1"/>
  <c r="K939" i="1"/>
  <c r="M703" i="1"/>
  <c r="K245" i="1"/>
  <c r="K421" i="1"/>
  <c r="N234" i="1"/>
  <c r="J807" i="1"/>
  <c r="J270" i="1"/>
  <c r="J195" i="1"/>
  <c r="K371" i="1"/>
  <c r="L731" i="1"/>
  <c r="J432" i="1"/>
  <c r="K963" i="1"/>
  <c r="J372" i="1"/>
  <c r="L372" i="1"/>
  <c r="P31" i="1"/>
  <c r="H234" i="1"/>
  <c r="I294" i="1"/>
  <c r="P294" i="1"/>
  <c r="P545" i="1"/>
  <c r="P371" i="1"/>
  <c r="L409" i="1"/>
  <c r="J409" i="1"/>
  <c r="K30" i="1"/>
  <c r="J531" i="1"/>
  <c r="J204" i="1"/>
  <c r="K234" i="1"/>
  <c r="K294" i="1"/>
  <c r="P168" i="1"/>
  <c r="I371" i="1"/>
  <c r="K731" i="1"/>
  <c r="H124" i="1"/>
  <c r="M124" i="1"/>
  <c r="N344" i="1"/>
  <c r="H344" i="1"/>
  <c r="L344" i="1"/>
  <c r="P109" i="1"/>
  <c r="P278" i="1"/>
  <c r="H306" i="1"/>
  <c r="H756" i="1"/>
  <c r="J408" i="1"/>
  <c r="M408" i="1"/>
  <c r="I652" i="1"/>
  <c r="I635" i="1"/>
  <c r="M403" i="1"/>
  <c r="N642" i="1"/>
  <c r="P642" i="1"/>
  <c r="J642" i="1"/>
  <c r="H642" i="1"/>
  <c r="M642" i="1"/>
  <c r="L642" i="1"/>
  <c r="H964" i="1"/>
  <c r="N875" i="1"/>
  <c r="I875" i="1"/>
  <c r="J92" i="1"/>
  <c r="P92" i="1"/>
  <c r="L632" i="1"/>
  <c r="N632" i="1"/>
  <c r="P483" i="1"/>
  <c r="K483" i="1"/>
  <c r="I483" i="1"/>
  <c r="M483" i="1"/>
  <c r="M269" i="1"/>
  <c r="I269" i="1"/>
  <c r="M92" i="1"/>
  <c r="H92" i="1"/>
  <c r="J934" i="1"/>
  <c r="H934" i="1"/>
  <c r="M569" i="1"/>
  <c r="H569" i="1"/>
  <c r="I569" i="1"/>
  <c r="P572" i="1"/>
  <c r="L572" i="1"/>
  <c r="M572" i="1"/>
  <c r="H572" i="1"/>
  <c r="H437" i="1"/>
  <c r="H298" i="1"/>
  <c r="J922" i="1"/>
  <c r="P706" i="1"/>
  <c r="L532" i="1"/>
  <c r="M549" i="1"/>
  <c r="I549" i="1"/>
  <c r="K549" i="1"/>
  <c r="J846" i="1"/>
  <c r="M846" i="1"/>
  <c r="N846" i="1"/>
  <c r="P950" i="1"/>
  <c r="M950" i="1"/>
  <c r="H950" i="1"/>
  <c r="P889" i="1"/>
  <c r="L889" i="1"/>
  <c r="I538" i="1"/>
  <c r="H744" i="1"/>
  <c r="L744" i="1"/>
  <c r="L104" i="1"/>
  <c r="N104" i="1"/>
  <c r="M540" i="1"/>
  <c r="K540" i="1"/>
  <c r="H540" i="1"/>
  <c r="J137" i="1"/>
  <c r="M137" i="1"/>
  <c r="H137" i="1"/>
  <c r="P697" i="1"/>
  <c r="I697" i="1"/>
  <c r="M162" i="1"/>
  <c r="L331" i="1"/>
  <c r="K331" i="1"/>
  <c r="N331" i="1"/>
  <c r="M507" i="1"/>
  <c r="P507" i="1"/>
  <c r="H507" i="1"/>
  <c r="K507" i="1"/>
  <c r="I147" i="1"/>
  <c r="J147" i="1"/>
  <c r="J140" i="1"/>
  <c r="H140" i="1"/>
  <c r="I414" i="1"/>
  <c r="J414" i="1"/>
  <c r="P509" i="1"/>
  <c r="J509" i="1"/>
  <c r="P375" i="1"/>
  <c r="L375" i="1"/>
  <c r="P928" i="1"/>
  <c r="K928" i="1"/>
  <c r="P660" i="1"/>
  <c r="K660" i="1"/>
  <c r="K375" i="1"/>
  <c r="I928" i="1"/>
  <c r="P689" i="1"/>
  <c r="H689" i="1"/>
  <c r="J689" i="1"/>
  <c r="L143" i="1"/>
  <c r="J143" i="1"/>
  <c r="M385" i="1"/>
  <c r="J385" i="1"/>
  <c r="H385" i="1"/>
  <c r="M333" i="1"/>
  <c r="L333" i="1"/>
  <c r="P333" i="1"/>
  <c r="J333" i="1"/>
  <c r="H333" i="1"/>
  <c r="M23" i="1"/>
  <c r="K34" i="1"/>
  <c r="H10" i="1"/>
  <c r="H851" i="1"/>
  <c r="L851" i="1"/>
  <c r="L318" i="1"/>
  <c r="L34" i="1"/>
  <c r="P9" i="1"/>
  <c r="K10" i="1"/>
  <c r="I323" i="1"/>
  <c r="N323" i="1"/>
  <c r="L323" i="1"/>
  <c r="P73" i="1"/>
  <c r="K73" i="1"/>
  <c r="J73" i="1"/>
  <c r="H62" i="1"/>
  <c r="K44" i="1"/>
  <c r="K19" i="1"/>
  <c r="P55" i="1"/>
  <c r="N10" i="1"/>
  <c r="L30" i="1"/>
  <c r="P30" i="1"/>
  <c r="P812" i="1"/>
  <c r="K812" i="1"/>
  <c r="I812" i="1"/>
  <c r="N404" i="1"/>
  <c r="K404" i="1"/>
  <c r="N647" i="1"/>
  <c r="H647" i="1"/>
  <c r="P418" i="1"/>
  <c r="M418" i="1"/>
  <c r="L418" i="1"/>
  <c r="H418" i="1"/>
  <c r="K839" i="1"/>
  <c r="P839" i="1"/>
  <c r="N651" i="1"/>
  <c r="J91" i="1"/>
  <c r="I766" i="1"/>
  <c r="M766" i="1"/>
  <c r="K593" i="1"/>
  <c r="J593" i="1"/>
  <c r="L593" i="1"/>
  <c r="N476" i="1"/>
  <c r="L476" i="1"/>
  <c r="P476" i="1"/>
  <c r="I476" i="1"/>
  <c r="M476" i="1"/>
  <c r="N794" i="1"/>
  <c r="J794" i="1"/>
  <c r="K794" i="1"/>
  <c r="L400" i="1"/>
  <c r="N422" i="1"/>
  <c r="H422" i="1"/>
  <c r="J422" i="1"/>
  <c r="L185" i="1"/>
  <c r="K185" i="1"/>
  <c r="H185" i="1"/>
  <c r="N790" i="1"/>
  <c r="K790" i="1"/>
  <c r="L790" i="1"/>
  <c r="N196" i="1"/>
  <c r="H196" i="1"/>
  <c r="K356" i="1"/>
  <c r="M356" i="1"/>
  <c r="K204" i="1"/>
  <c r="L543" i="1"/>
  <c r="H651" i="1"/>
  <c r="I704" i="1"/>
  <c r="M704" i="1"/>
  <c r="P400" i="1"/>
  <c r="H915" i="1"/>
  <c r="L915" i="1"/>
  <c r="L777" i="1"/>
  <c r="K777" i="1"/>
  <c r="N777" i="1"/>
  <c r="I561" i="1"/>
  <c r="K561" i="1"/>
  <c r="H346" i="1"/>
  <c r="I346" i="1"/>
  <c r="H421" i="1"/>
  <c r="N421" i="1"/>
  <c r="I230" i="1"/>
  <c r="H168" i="1"/>
  <c r="I746" i="1"/>
  <c r="K951" i="1"/>
  <c r="K278" i="1"/>
  <c r="J124" i="1"/>
  <c r="J513" i="1"/>
  <c r="J344" i="1"/>
  <c r="K306" i="1"/>
  <c r="H403" i="1"/>
  <c r="H370" i="1"/>
  <c r="I408" i="1"/>
  <c r="P450" i="1"/>
  <c r="K372" i="1"/>
  <c r="P213" i="1"/>
  <c r="I213" i="1"/>
  <c r="H213" i="1"/>
  <c r="H106" i="1"/>
  <c r="L106" i="1"/>
  <c r="N455" i="1"/>
  <c r="L195" i="1"/>
  <c r="L963" i="1"/>
  <c r="K409" i="1"/>
  <c r="N588" i="1"/>
  <c r="I450" i="1"/>
  <c r="K149" i="1"/>
  <c r="L149" i="1"/>
  <c r="L467" i="1"/>
  <c r="P467" i="1"/>
  <c r="K467" i="1"/>
  <c r="N448" i="1"/>
  <c r="H448" i="1"/>
  <c r="L875" i="1"/>
  <c r="P875" i="1"/>
  <c r="K974" i="1"/>
  <c r="P974" i="1"/>
  <c r="K269" i="1"/>
  <c r="P269" i="1"/>
  <c r="P272" i="1"/>
  <c r="H632" i="1"/>
  <c r="H875" i="1"/>
  <c r="M875" i="1"/>
  <c r="H93" i="1"/>
  <c r="L974" i="1"/>
  <c r="L269" i="1"/>
  <c r="J632" i="1"/>
  <c r="K695" i="1"/>
  <c r="H695" i="1"/>
  <c r="N179" i="1"/>
  <c r="L179" i="1"/>
  <c r="P179" i="1"/>
  <c r="I179" i="1"/>
  <c r="P125" i="1"/>
  <c r="K125" i="1"/>
  <c r="L125" i="1"/>
  <c r="J175" i="1"/>
  <c r="N175" i="1"/>
  <c r="H175" i="1"/>
  <c r="K957" i="1"/>
  <c r="K923" i="1"/>
  <c r="L923" i="1"/>
  <c r="I102" i="1"/>
  <c r="K102" i="1"/>
  <c r="I399" i="1"/>
  <c r="M239" i="1"/>
  <c r="H239" i="1"/>
  <c r="I352" i="1"/>
  <c r="K352" i="1"/>
  <c r="P352" i="1"/>
  <c r="J534" i="1"/>
  <c r="K534" i="1"/>
  <c r="H575" i="1"/>
  <c r="N903" i="1"/>
  <c r="L522" i="1"/>
  <c r="K522" i="1"/>
  <c r="I159" i="1"/>
  <c r="M159" i="1"/>
  <c r="H159" i="1"/>
  <c r="M247" i="1"/>
  <c r="H247" i="1"/>
  <c r="I247" i="1"/>
  <c r="L247" i="1"/>
  <c r="K247" i="1"/>
  <c r="P892" i="1"/>
  <c r="N892" i="1"/>
  <c r="H892" i="1"/>
  <c r="J892" i="1"/>
  <c r="H279" i="1"/>
  <c r="L279" i="1"/>
  <c r="M279" i="1"/>
  <c r="N112" i="1"/>
  <c r="H112" i="1"/>
  <c r="H907" i="1"/>
  <c r="L907" i="1"/>
  <c r="P247" i="1"/>
  <c r="P393" i="1"/>
  <c r="L393" i="1"/>
  <c r="M393" i="1"/>
  <c r="J722" i="1"/>
  <c r="K722" i="1"/>
  <c r="J741" i="1"/>
  <c r="K741" i="1"/>
  <c r="M505" i="1"/>
  <c r="K505" i="1"/>
  <c r="H505" i="1"/>
  <c r="I505" i="1"/>
  <c r="K518" i="1"/>
  <c r="J518" i="1"/>
  <c r="H130" i="1"/>
  <c r="J402" i="1"/>
  <c r="N402" i="1"/>
  <c r="H402" i="1"/>
  <c r="I402" i="1"/>
  <c r="K430" i="1"/>
  <c r="L430" i="1"/>
  <c r="L719" i="1"/>
  <c r="J719" i="1"/>
  <c r="N719" i="1"/>
  <c r="H719" i="1"/>
  <c r="L598" i="1"/>
  <c r="J598" i="1"/>
  <c r="H578" i="1"/>
  <c r="L578" i="1"/>
  <c r="M578" i="1"/>
  <c r="I275" i="1"/>
  <c r="M275" i="1"/>
  <c r="I694" i="1"/>
  <c r="J694" i="1"/>
  <c r="N694" i="1"/>
  <c r="P569" i="1"/>
  <c r="L420" i="1"/>
  <c r="J420" i="1"/>
  <c r="K453" i="1"/>
  <c r="N453" i="1"/>
  <c r="J453" i="1"/>
  <c r="P48" i="1"/>
  <c r="L48" i="1"/>
  <c r="M48" i="1"/>
  <c r="H48" i="1"/>
  <c r="I48" i="1"/>
  <c r="J48" i="1"/>
  <c r="P155" i="1"/>
  <c r="L155" i="1"/>
  <c r="M155" i="1"/>
  <c r="J479" i="1"/>
  <c r="L479" i="1"/>
  <c r="P712" i="1"/>
  <c r="N712" i="1"/>
  <c r="H712" i="1"/>
  <c r="J712" i="1"/>
  <c r="P200" i="1"/>
  <c r="K200" i="1"/>
  <c r="L200" i="1"/>
  <c r="M334" i="1"/>
  <c r="J334" i="1"/>
  <c r="L877" i="1"/>
  <c r="K877" i="1"/>
  <c r="K235" i="1"/>
  <c r="N235" i="1"/>
  <c r="L460" i="1"/>
  <c r="H460" i="1"/>
  <c r="K460" i="1"/>
  <c r="J622" i="1"/>
  <c r="N622" i="1"/>
  <c r="H155" i="1"/>
  <c r="J396" i="1"/>
  <c r="L596" i="1"/>
  <c r="K596" i="1"/>
  <c r="K620" i="1"/>
  <c r="L620" i="1"/>
  <c r="J620" i="1"/>
  <c r="L706" i="1"/>
  <c r="I526" i="1"/>
  <c r="P162" i="1"/>
  <c r="K162" i="1"/>
  <c r="L162" i="1"/>
  <c r="H931" i="1"/>
  <c r="P35" i="1"/>
  <c r="L35" i="1"/>
  <c r="M35" i="1"/>
  <c r="H35" i="1"/>
  <c r="M674" i="1"/>
  <c r="N674" i="1"/>
  <c r="H674" i="1"/>
  <c r="P63" i="1"/>
  <c r="L63" i="1"/>
  <c r="M63" i="1"/>
  <c r="H63" i="1"/>
  <c r="L928" i="1"/>
  <c r="J551" i="1"/>
  <c r="H528" i="1"/>
  <c r="K528" i="1"/>
  <c r="J256" i="1"/>
  <c r="H256" i="1"/>
  <c r="L507" i="1"/>
  <c r="N689" i="1"/>
  <c r="L689" i="1"/>
  <c r="M689" i="1"/>
  <c r="M82" i="1"/>
  <c r="J82" i="1"/>
  <c r="I82" i="1"/>
  <c r="L519" i="1"/>
  <c r="N519" i="1"/>
  <c r="I519" i="1"/>
  <c r="P519" i="1"/>
  <c r="N781" i="1"/>
  <c r="K781" i="1"/>
  <c r="J781" i="1"/>
  <c r="J519" i="1"/>
  <c r="L542" i="1"/>
  <c r="N542" i="1"/>
  <c r="H542" i="1"/>
  <c r="K542" i="1"/>
  <c r="J542" i="1"/>
  <c r="L53" i="1"/>
  <c r="M53" i="1"/>
  <c r="P138" i="1"/>
  <c r="H138" i="1"/>
  <c r="N762" i="1"/>
  <c r="H762" i="1"/>
  <c r="M205" i="1"/>
  <c r="L205" i="1"/>
  <c r="K205" i="1"/>
  <c r="P205" i="1"/>
  <c r="I205" i="1"/>
  <c r="K113" i="1"/>
  <c r="L113" i="1"/>
  <c r="N893" i="1"/>
  <c r="P893" i="1"/>
  <c r="J893" i="1"/>
  <c r="I893" i="1"/>
  <c r="M866" i="1"/>
  <c r="L20" i="1"/>
  <c r="L45" i="1"/>
  <c r="H42" i="1"/>
  <c r="N44" i="1"/>
  <c r="K28" i="1"/>
  <c r="J11" i="1"/>
  <c r="L64" i="1"/>
  <c r="M921" i="1"/>
  <c r="P624" i="1"/>
  <c r="J624" i="1"/>
  <c r="N624" i="1"/>
  <c r="M624" i="1"/>
  <c r="I624" i="1"/>
  <c r="K11" i="1"/>
  <c r="N787" i="1"/>
  <c r="L787" i="1"/>
  <c r="P20" i="1"/>
  <c r="L4" i="1"/>
  <c r="H31" i="1"/>
  <c r="H44" i="1"/>
  <c r="H19" i="1"/>
  <c r="N19" i="1"/>
  <c r="H34" i="1"/>
  <c r="N34" i="1"/>
  <c r="H16" i="1"/>
  <c r="H9" i="1"/>
  <c r="I55" i="1"/>
  <c r="I921" i="1"/>
  <c r="P921" i="1"/>
  <c r="K784" i="1"/>
  <c r="I784" i="1"/>
  <c r="L209" i="1"/>
  <c r="H209" i="1"/>
  <c r="K439" i="1"/>
  <c r="H439" i="1"/>
  <c r="M439" i="1"/>
  <c r="I439" i="1"/>
  <c r="N252" i="1"/>
  <c r="L252" i="1"/>
  <c r="K252" i="1"/>
  <c r="J252" i="1"/>
  <c r="I2" i="1"/>
  <c r="M2" i="1"/>
  <c r="L510" i="1"/>
  <c r="P510" i="1"/>
  <c r="H510" i="1"/>
  <c r="M510" i="1"/>
  <c r="I510" i="1"/>
  <c r="N390" i="1"/>
  <c r="P390" i="1"/>
  <c r="I390" i="1"/>
  <c r="L390" i="1"/>
  <c r="J390" i="1"/>
  <c r="P780" i="1"/>
  <c r="M780" i="1"/>
  <c r="I780" i="1"/>
  <c r="K780" i="1"/>
  <c r="N780" i="1"/>
  <c r="J780" i="1"/>
  <c r="P832" i="1"/>
  <c r="L832" i="1"/>
  <c r="H832" i="1"/>
  <c r="M832" i="1"/>
  <c r="K216" i="1"/>
  <c r="L216" i="1"/>
  <c r="N354" i="1"/>
  <c r="L354" i="1"/>
  <c r="H354" i="1"/>
  <c r="I902" i="1"/>
  <c r="N341" i="1"/>
  <c r="P341" i="1"/>
  <c r="L341" i="1"/>
  <c r="I341" i="1"/>
  <c r="M341" i="1"/>
  <c r="H341" i="1"/>
  <c r="J669" i="1"/>
  <c r="N669" i="1"/>
  <c r="L669" i="1"/>
  <c r="N655" i="1"/>
  <c r="P655" i="1"/>
  <c r="L655" i="1"/>
  <c r="I655" i="1"/>
  <c r="M655" i="1"/>
  <c r="H655" i="1"/>
  <c r="P886" i="1"/>
  <c r="M886" i="1"/>
  <c r="P326" i="1"/>
  <c r="J326" i="1"/>
  <c r="M330" i="1"/>
  <c r="H330" i="1"/>
  <c r="N330" i="1"/>
  <c r="L330" i="1"/>
  <c r="P330" i="1"/>
  <c r="J330" i="1"/>
  <c r="I330" i="1"/>
  <c r="L816" i="1"/>
  <c r="N967" i="1"/>
  <c r="P967" i="1"/>
  <c r="L967" i="1"/>
  <c r="I967" i="1"/>
  <c r="M967" i="1"/>
  <c r="H967" i="1"/>
  <c r="L795" i="1"/>
  <c r="J795" i="1"/>
  <c r="N795" i="1"/>
  <c r="H795" i="1"/>
  <c r="P634" i="1"/>
  <c r="I634" i="1"/>
  <c r="M634" i="1"/>
  <c r="L634" i="1"/>
  <c r="H780" i="1"/>
  <c r="P666" i="1"/>
  <c r="K666" i="1"/>
  <c r="I666" i="1"/>
  <c r="J194" i="1"/>
  <c r="N194" i="1"/>
  <c r="H194" i="1"/>
  <c r="M194" i="1"/>
  <c r="L803" i="1"/>
  <c r="K803" i="1"/>
  <c r="P680" i="1"/>
  <c r="L680" i="1"/>
  <c r="N680" i="1"/>
  <c r="I680" i="1"/>
  <c r="M680" i="1"/>
  <c r="H680" i="1"/>
  <c r="H852" i="1"/>
  <c r="N852" i="1"/>
  <c r="J852" i="1"/>
  <c r="P345" i="1"/>
  <c r="L345" i="1"/>
  <c r="K891" i="1"/>
  <c r="I891" i="1"/>
  <c r="I400" i="1"/>
  <c r="N400" i="1"/>
  <c r="J323" i="1"/>
  <c r="P323" i="1"/>
  <c r="I133" i="1"/>
  <c r="I421" i="1"/>
  <c r="M421" i="1"/>
  <c r="L880" i="1"/>
  <c r="H230" i="1"/>
  <c r="P230" i="1"/>
  <c r="N562" i="1"/>
  <c r="K476" i="1"/>
  <c r="P790" i="1"/>
  <c r="M168" i="1"/>
  <c r="J148" i="1"/>
  <c r="L545" i="1"/>
  <c r="H464" i="1"/>
  <c r="P187" i="1"/>
  <c r="K121" i="1"/>
  <c r="K693" i="1"/>
  <c r="P763" i="1"/>
  <c r="H764" i="1"/>
  <c r="I195" i="1"/>
  <c r="P195" i="1"/>
  <c r="J731" i="1"/>
  <c r="H963" i="1"/>
  <c r="K109" i="1"/>
  <c r="I631" i="1"/>
  <c r="L654" i="1"/>
  <c r="H777" i="1"/>
  <c r="L312" i="1"/>
  <c r="J652" i="1"/>
  <c r="P652" i="1"/>
  <c r="P561" i="1"/>
  <c r="K434" i="1"/>
  <c r="K556" i="1"/>
  <c r="K968" i="1"/>
  <c r="N778" i="1"/>
  <c r="H778" i="1"/>
  <c r="N867" i="1"/>
  <c r="H867" i="1"/>
  <c r="L867" i="1"/>
  <c r="L813" i="1"/>
  <c r="P813" i="1"/>
  <c r="K813" i="1"/>
  <c r="P149" i="1"/>
  <c r="N760" i="1"/>
  <c r="J760" i="1"/>
  <c r="H760" i="1"/>
  <c r="P313" i="1"/>
  <c r="J313" i="1"/>
  <c r="P957" i="1"/>
  <c r="M957" i="1"/>
  <c r="I957" i="1"/>
  <c r="N957" i="1"/>
  <c r="H957" i="1"/>
  <c r="L957" i="1"/>
  <c r="P684" i="1"/>
  <c r="L684" i="1"/>
  <c r="I684" i="1"/>
  <c r="L768" i="1"/>
  <c r="J768" i="1"/>
  <c r="M411" i="1"/>
  <c r="J411" i="1"/>
  <c r="M370" i="1"/>
  <c r="P370" i="1"/>
  <c r="K370" i="1"/>
  <c r="N282" i="1"/>
  <c r="K282" i="1"/>
  <c r="N791" i="1"/>
  <c r="H791" i="1"/>
  <c r="L791" i="1"/>
  <c r="J250" i="1"/>
  <c r="L250" i="1"/>
  <c r="H250" i="1"/>
  <c r="K288" i="1"/>
  <c r="I288" i="1"/>
  <c r="H288" i="1"/>
  <c r="L472" i="1"/>
  <c r="H472" i="1"/>
  <c r="L73" i="1"/>
  <c r="H400" i="1"/>
  <c r="M400" i="1"/>
  <c r="J476" i="1"/>
  <c r="L168" i="1"/>
  <c r="H148" i="1"/>
  <c r="K545" i="1"/>
  <c r="J121" i="1"/>
  <c r="H731" i="1"/>
  <c r="I109" i="1"/>
  <c r="I654" i="1"/>
  <c r="L794" i="1"/>
  <c r="H312" i="1"/>
  <c r="P588" i="1"/>
  <c r="J588" i="1"/>
  <c r="L340" i="1"/>
  <c r="P340" i="1"/>
  <c r="I340" i="1"/>
  <c r="L370" i="1"/>
  <c r="H434" i="1"/>
  <c r="K450" i="1"/>
  <c r="K791" i="1"/>
  <c r="H679" i="1"/>
  <c r="N149" i="1"/>
  <c r="I149" i="1"/>
  <c r="M149" i="1"/>
  <c r="H149" i="1"/>
  <c r="L760" i="1"/>
  <c r="L448" i="1"/>
  <c r="K448" i="1"/>
  <c r="N317" i="1"/>
  <c r="M317" i="1"/>
  <c r="J317" i="1"/>
  <c r="N213" i="1"/>
  <c r="M213" i="1"/>
  <c r="L213" i="1"/>
  <c r="K501" i="1"/>
  <c r="J501" i="1"/>
  <c r="L501" i="1"/>
  <c r="J964" i="1"/>
  <c r="I642" i="1"/>
  <c r="K92" i="1"/>
  <c r="J678" i="1"/>
  <c r="M93" i="1"/>
  <c r="I974" i="1"/>
  <c r="N260" i="1"/>
  <c r="I333" i="1"/>
  <c r="N333" i="1"/>
  <c r="M695" i="1"/>
  <c r="J112" i="1"/>
  <c r="H290" i="1"/>
  <c r="L290" i="1"/>
  <c r="P808" i="1"/>
  <c r="I808" i="1"/>
  <c r="L808" i="1"/>
  <c r="N808" i="1"/>
  <c r="J560" i="1"/>
  <c r="N560" i="1"/>
  <c r="K560" i="1"/>
  <c r="H864" i="1"/>
  <c r="L864" i="1"/>
  <c r="K118" i="1"/>
  <c r="J118" i="1"/>
  <c r="N118" i="1"/>
  <c r="K112" i="1"/>
  <c r="P112" i="1"/>
  <c r="M112" i="1"/>
  <c r="I112" i="1"/>
  <c r="L112" i="1"/>
  <c r="P212" i="1"/>
  <c r="K212" i="1"/>
  <c r="H212" i="1"/>
  <c r="I212" i="1"/>
  <c r="I662" i="1"/>
  <c r="J662" i="1"/>
  <c r="P853" i="1"/>
  <c r="J853" i="1"/>
  <c r="L853" i="1"/>
  <c r="M853" i="1"/>
  <c r="M368" i="1"/>
  <c r="P368" i="1"/>
  <c r="H368" i="1"/>
  <c r="I368" i="1"/>
  <c r="M480" i="1"/>
  <c r="H480" i="1"/>
  <c r="N480" i="1"/>
  <c r="I480" i="1"/>
  <c r="J480" i="1"/>
  <c r="L480" i="1"/>
  <c r="P480" i="1"/>
  <c r="M980" i="1"/>
  <c r="K980" i="1"/>
  <c r="L980" i="1"/>
  <c r="I742" i="1"/>
  <c r="K742" i="1"/>
  <c r="M120" i="1"/>
  <c r="H120" i="1"/>
  <c r="L120" i="1"/>
  <c r="L573" i="1"/>
  <c r="K573" i="1"/>
  <c r="K733" i="1"/>
  <c r="J905" i="1"/>
  <c r="M905" i="1"/>
  <c r="H905" i="1"/>
  <c r="N905" i="1"/>
  <c r="H920" i="1"/>
  <c r="K920" i="1"/>
  <c r="L920" i="1"/>
  <c r="J77" i="1"/>
  <c r="I77" i="1"/>
  <c r="M77" i="1"/>
  <c r="N77" i="1"/>
  <c r="H494" i="1"/>
  <c r="J494" i="1"/>
  <c r="I378" i="1"/>
  <c r="J378" i="1"/>
  <c r="L51" i="1"/>
  <c r="H51" i="1"/>
  <c r="K51" i="1"/>
  <c r="L757" i="1"/>
  <c r="H757" i="1"/>
  <c r="P907" i="1"/>
  <c r="M907" i="1"/>
  <c r="I907" i="1"/>
  <c r="N907" i="1"/>
  <c r="J907" i="1"/>
  <c r="K907" i="1"/>
  <c r="H208" i="1"/>
  <c r="J208" i="1"/>
  <c r="M208" i="1"/>
  <c r="I362" i="1"/>
  <c r="L362" i="1"/>
  <c r="N362" i="1"/>
  <c r="P871" i="1"/>
  <c r="I871" i="1"/>
  <c r="L871" i="1"/>
  <c r="L898" i="1"/>
  <c r="I898" i="1"/>
  <c r="H853" i="1"/>
  <c r="J954" i="1"/>
  <c r="M954" i="1"/>
  <c r="N954" i="1"/>
  <c r="I954" i="1"/>
  <c r="K809" i="1"/>
  <c r="P809" i="1"/>
  <c r="N552" i="1"/>
  <c r="H552" i="1"/>
  <c r="J552" i="1"/>
  <c r="L552" i="1"/>
  <c r="P350" i="1"/>
  <c r="L350" i="1"/>
  <c r="M350" i="1"/>
  <c r="H350" i="1"/>
  <c r="K350" i="1"/>
  <c r="I350" i="1"/>
  <c r="M489" i="1"/>
  <c r="P159" i="1"/>
  <c r="K159" i="1"/>
  <c r="L711" i="1"/>
  <c r="H711" i="1"/>
  <c r="L638" i="1"/>
  <c r="H638" i="1"/>
  <c r="H911" i="1"/>
  <c r="I911" i="1"/>
  <c r="P770" i="1"/>
  <c r="L770" i="1"/>
  <c r="M770" i="1"/>
  <c r="M922" i="1"/>
  <c r="H922" i="1"/>
  <c r="N922" i="1"/>
  <c r="I922" i="1"/>
  <c r="K798" i="1"/>
  <c r="M798" i="1"/>
  <c r="P280" i="1"/>
  <c r="J280" i="1"/>
  <c r="L280" i="1"/>
  <c r="I739" i="1"/>
  <c r="M76" i="1"/>
  <c r="P76" i="1"/>
  <c r="P78" i="1"/>
  <c r="L78" i="1"/>
  <c r="N242" i="1"/>
  <c r="K242" i="1"/>
  <c r="J242" i="1"/>
  <c r="H929" i="1"/>
  <c r="J929" i="1"/>
  <c r="J520" i="1"/>
  <c r="M520" i="1"/>
  <c r="I520" i="1"/>
  <c r="P325" i="1"/>
  <c r="L325" i="1"/>
  <c r="J462" i="1"/>
  <c r="M462" i="1"/>
  <c r="P961" i="1"/>
  <c r="I961" i="1"/>
  <c r="L934" i="1"/>
  <c r="K934" i="1"/>
  <c r="N934" i="1"/>
  <c r="P225" i="1"/>
  <c r="I225" i="1"/>
  <c r="L225" i="1"/>
  <c r="L214" i="1"/>
  <c r="H214" i="1"/>
  <c r="L625" i="1"/>
  <c r="M625" i="1"/>
  <c r="L226" i="1"/>
  <c r="K226" i="1"/>
  <c r="P301" i="1"/>
  <c r="L301" i="1"/>
  <c r="P722" i="1"/>
  <c r="L722" i="1"/>
  <c r="N722" i="1"/>
  <c r="H722" i="1"/>
  <c r="H79" i="1"/>
  <c r="L79" i="1"/>
  <c r="K496" i="1"/>
  <c r="H496" i="1"/>
  <c r="I496" i="1"/>
  <c r="K706" i="1"/>
  <c r="M706" i="1"/>
  <c r="H706" i="1"/>
  <c r="N706" i="1"/>
  <c r="I706" i="1"/>
  <c r="I469" i="1"/>
  <c r="K469" i="1"/>
  <c r="P80" i="1"/>
  <c r="J80" i="1"/>
  <c r="K80" i="1"/>
  <c r="H80" i="1"/>
  <c r="L80" i="1"/>
  <c r="N80" i="1"/>
  <c r="I904" i="1"/>
  <c r="J904" i="1"/>
  <c r="P904" i="1"/>
  <c r="J612" i="1"/>
  <c r="K612" i="1"/>
  <c r="N612" i="1"/>
  <c r="I846" i="1"/>
  <c r="L892" i="1"/>
  <c r="H430" i="1"/>
  <c r="K719" i="1"/>
  <c r="P694" i="1"/>
  <c r="L694" i="1"/>
  <c r="M694" i="1"/>
  <c r="H694" i="1"/>
  <c r="L289" i="1"/>
  <c r="H289" i="1"/>
  <c r="I203" i="1"/>
  <c r="N677" i="1"/>
  <c r="P677" i="1"/>
  <c r="J677" i="1"/>
  <c r="M677" i="1"/>
  <c r="H677" i="1"/>
  <c r="L677" i="1"/>
  <c r="H713" i="1"/>
  <c r="K713" i="1"/>
  <c r="P222" i="1"/>
  <c r="H222" i="1"/>
  <c r="L222" i="1"/>
  <c r="N360" i="1"/>
  <c r="H360" i="1"/>
  <c r="J360" i="1"/>
  <c r="J47" i="1"/>
  <c r="H47" i="1"/>
  <c r="P97" i="1"/>
  <c r="L97" i="1"/>
  <c r="K97" i="1"/>
  <c r="H97" i="1"/>
  <c r="P526" i="1"/>
  <c r="L526" i="1"/>
  <c r="M526" i="1"/>
  <c r="J526" i="1"/>
  <c r="N526" i="1"/>
  <c r="K111" i="1"/>
  <c r="K889" i="1"/>
  <c r="P460" i="1"/>
  <c r="L716" i="1"/>
  <c r="H716" i="1"/>
  <c r="I716" i="1"/>
  <c r="P586" i="1"/>
  <c r="L586" i="1"/>
  <c r="M586" i="1"/>
  <c r="K586" i="1"/>
  <c r="I586" i="1"/>
  <c r="H586" i="1"/>
  <c r="I601" i="1"/>
  <c r="P601" i="1"/>
  <c r="N949" i="1"/>
  <c r="H949" i="1"/>
  <c r="I814" i="1"/>
  <c r="M814" i="1"/>
  <c r="P895" i="1"/>
  <c r="I895" i="1"/>
  <c r="M126" i="1"/>
  <c r="I126" i="1"/>
  <c r="K126" i="1"/>
  <c r="J855" i="1"/>
  <c r="L855" i="1"/>
  <c r="I170" i="1"/>
  <c r="H170" i="1"/>
  <c r="L589" i="1"/>
  <c r="K589" i="1"/>
  <c r="I589" i="1"/>
  <c r="P589" i="1"/>
  <c r="J233" i="1"/>
  <c r="H102" i="1"/>
  <c r="L95" i="1"/>
  <c r="K440" i="1"/>
  <c r="L440" i="1"/>
  <c r="N66" i="1"/>
  <c r="J66" i="1"/>
  <c r="H535" i="1"/>
  <c r="L535" i="1"/>
  <c r="M473" i="1"/>
  <c r="H473" i="1"/>
  <c r="L473" i="1"/>
  <c r="J473" i="1"/>
  <c r="N473" i="1"/>
  <c r="P473" i="1"/>
  <c r="I473" i="1"/>
  <c r="J337" i="1"/>
  <c r="K337" i="1"/>
  <c r="N337" i="1"/>
  <c r="L284" i="1"/>
  <c r="H284" i="1"/>
  <c r="P284" i="1"/>
  <c r="H445" i="1"/>
  <c r="M445" i="1"/>
  <c r="M146" i="1"/>
  <c r="J146" i="1"/>
  <c r="J67" i="1"/>
  <c r="N67" i="1"/>
  <c r="I67" i="1"/>
  <c r="L129" i="1"/>
  <c r="J129" i="1"/>
  <c r="M129" i="1"/>
  <c r="H129" i="1"/>
  <c r="K339" i="1"/>
  <c r="N339" i="1"/>
  <c r="H339" i="1"/>
  <c r="K316" i="1"/>
  <c r="J316" i="1"/>
  <c r="N316" i="1"/>
  <c r="J692" i="1"/>
  <c r="K692" i="1"/>
  <c r="P619" i="1"/>
  <c r="J619" i="1"/>
  <c r="H67" i="1"/>
  <c r="N171" i="1"/>
  <c r="L171" i="1"/>
  <c r="P171" i="1"/>
  <c r="I171" i="1"/>
  <c r="K85" i="1"/>
  <c r="J85" i="1"/>
  <c r="I765" i="1"/>
  <c r="N765" i="1"/>
  <c r="J765" i="1"/>
  <c r="J304" i="1"/>
  <c r="N304" i="1"/>
  <c r="H304" i="1"/>
  <c r="I304" i="1"/>
  <c r="M304" i="1"/>
  <c r="M538" i="1"/>
  <c r="H538" i="1"/>
  <c r="K169" i="1"/>
  <c r="H169" i="1"/>
  <c r="M151" i="1"/>
  <c r="L151" i="1"/>
  <c r="H375" i="1"/>
  <c r="H868" i="1"/>
  <c r="K868" i="1"/>
  <c r="P882" i="1"/>
  <c r="M882" i="1"/>
  <c r="I882" i="1"/>
  <c r="L882" i="1"/>
  <c r="I615" i="1"/>
  <c r="P615" i="1"/>
  <c r="N528" i="1"/>
  <c r="J528" i="1"/>
  <c r="I528" i="1"/>
  <c r="M528" i="1"/>
  <c r="L528" i="1"/>
  <c r="I375" i="1"/>
  <c r="M375" i="1"/>
  <c r="K367" i="1"/>
  <c r="J367" i="1"/>
  <c r="L367" i="1"/>
  <c r="M255" i="1"/>
  <c r="P255" i="1"/>
  <c r="H255" i="1"/>
  <c r="K255" i="1"/>
  <c r="K491" i="1"/>
  <c r="P962" i="1"/>
  <c r="I962" i="1"/>
  <c r="L357" i="1"/>
  <c r="L541" i="1"/>
  <c r="H541" i="1"/>
  <c r="K35" i="1"/>
  <c r="L540" i="1"/>
  <c r="N63" i="1"/>
  <c r="J63" i="1"/>
  <c r="P581" i="1"/>
  <c r="I581" i="1"/>
  <c r="L599" i="1"/>
  <c r="M599" i="1"/>
  <c r="H599" i="1"/>
  <c r="K599" i="1"/>
  <c r="N147" i="1"/>
  <c r="M147" i="1"/>
  <c r="L256" i="1"/>
  <c r="P256" i="1"/>
  <c r="N521" i="1"/>
  <c r="H521" i="1"/>
  <c r="K629" i="1"/>
  <c r="H629" i="1"/>
  <c r="I629" i="1"/>
  <c r="I914" i="1"/>
  <c r="H914" i="1"/>
  <c r="J116" i="1"/>
  <c r="H116" i="1"/>
  <c r="K688" i="1"/>
  <c r="I688" i="1"/>
  <c r="M231" i="1"/>
  <c r="H231" i="1"/>
  <c r="I231" i="1"/>
  <c r="K175" i="1"/>
  <c r="H22" i="1"/>
  <c r="H28" i="1"/>
  <c r="N28" i="1"/>
  <c r="H24" i="1"/>
  <c r="N24" i="1"/>
  <c r="L43" i="1"/>
  <c r="L426" i="1"/>
  <c r="M98" i="1"/>
  <c r="J98" i="1"/>
  <c r="P413" i="1"/>
  <c r="M413" i="1"/>
  <c r="I413" i="1"/>
  <c r="K413" i="1"/>
  <c r="J2" i="1"/>
  <c r="N2" i="1"/>
  <c r="H2" i="1"/>
  <c r="P939" i="1"/>
  <c r="J939" i="1"/>
  <c r="L939" i="1"/>
  <c r="L647" i="1"/>
  <c r="L702" i="1"/>
  <c r="H702" i="1"/>
  <c r="L193" i="1"/>
  <c r="P245" i="1"/>
  <c r="L245" i="1"/>
  <c r="J245" i="1"/>
  <c r="L395" i="1"/>
  <c r="L401" i="1"/>
  <c r="H401" i="1"/>
  <c r="K401" i="1"/>
  <c r="K508" i="1"/>
  <c r="N508" i="1"/>
  <c r="J508" i="1"/>
  <c r="P508" i="1"/>
  <c r="M508" i="1"/>
  <c r="I508" i="1"/>
  <c r="P933" i="1"/>
  <c r="N933" i="1"/>
  <c r="H933" i="1"/>
  <c r="M933" i="1"/>
  <c r="J933" i="1"/>
  <c r="J261" i="1"/>
  <c r="K261" i="1"/>
  <c r="L663" i="1"/>
  <c r="K663" i="1"/>
  <c r="J663" i="1"/>
  <c r="J60" i="1"/>
  <c r="H4" i="1"/>
  <c r="I45" i="1"/>
  <c r="P45" i="1"/>
  <c r="I62" i="1"/>
  <c r="P62" i="1"/>
  <c r="I22" i="1"/>
  <c r="L44" i="1"/>
  <c r="J28" i="1"/>
  <c r="J24" i="1"/>
  <c r="P135" i="1"/>
  <c r="M43" i="1"/>
  <c r="J10" i="1"/>
  <c r="L12" i="1"/>
  <c r="J30" i="1"/>
  <c r="P119" i="1"/>
  <c r="M64" i="1"/>
  <c r="M426" i="1"/>
  <c r="M163" i="1"/>
  <c r="H163" i="1"/>
  <c r="P163" i="1"/>
  <c r="H107" i="1"/>
  <c r="J3" i="1"/>
  <c r="H245" i="1"/>
  <c r="J133" i="1"/>
  <c r="N133" i="1"/>
  <c r="H133" i="1"/>
  <c r="N766" i="1"/>
  <c r="H766" i="1"/>
  <c r="J766" i="1"/>
  <c r="K425" i="1"/>
  <c r="P422" i="1"/>
  <c r="M422" i="1"/>
  <c r="I422" i="1"/>
  <c r="K422" i="1"/>
  <c r="P452" i="1"/>
  <c r="H452" i="1"/>
  <c r="M452" i="1"/>
  <c r="K452" i="1"/>
  <c r="M308" i="1"/>
  <c r="H308" i="1"/>
  <c r="H119" i="1"/>
  <c r="P686" i="1"/>
  <c r="I686" i="1"/>
  <c r="M686" i="1"/>
  <c r="N385" i="1"/>
  <c r="I385" i="1"/>
  <c r="P385" i="1"/>
  <c r="L385" i="1"/>
  <c r="H202" i="1"/>
  <c r="M202" i="1"/>
  <c r="K651" i="1"/>
  <c r="P651" i="1"/>
  <c r="M651" i="1"/>
  <c r="I651" i="1"/>
  <c r="P87" i="1"/>
  <c r="K87" i="1"/>
  <c r="M87" i="1"/>
  <c r="H478" i="1"/>
  <c r="P647" i="1"/>
  <c r="M647" i="1"/>
  <c r="I647" i="1"/>
  <c r="K647" i="1"/>
  <c r="L705" i="1"/>
  <c r="P395" i="1"/>
  <c r="M395" i="1"/>
  <c r="I395" i="1"/>
  <c r="K395" i="1"/>
  <c r="N154" i="1"/>
  <c r="M154" i="1"/>
  <c r="L154" i="1"/>
  <c r="P154" i="1"/>
  <c r="J154" i="1"/>
  <c r="H508" i="1"/>
  <c r="L872" i="1"/>
  <c r="H872" i="1"/>
  <c r="N872" i="1"/>
  <c r="K872" i="1"/>
  <c r="J872" i="1"/>
  <c r="M4" i="1"/>
  <c r="M45" i="1"/>
  <c r="M62" i="1"/>
  <c r="P22" i="1"/>
  <c r="L42" i="1"/>
  <c r="J44" i="1"/>
  <c r="L28" i="1"/>
  <c r="L24" i="1"/>
  <c r="H43" i="1"/>
  <c r="L55" i="1"/>
  <c r="L10" i="1"/>
  <c r="N11" i="1"/>
  <c r="I25" i="1"/>
  <c r="H64" i="1"/>
  <c r="P107" i="1"/>
  <c r="I107" i="1"/>
  <c r="M107" i="1"/>
  <c r="J647" i="1"/>
  <c r="N704" i="1"/>
  <c r="H704" i="1"/>
  <c r="J704" i="1"/>
  <c r="M779" i="1"/>
  <c r="L779" i="1"/>
  <c r="H425" i="1"/>
  <c r="L422" i="1"/>
  <c r="J395" i="1"/>
  <c r="N401" i="1"/>
  <c r="M349" i="1"/>
  <c r="H349" i="1"/>
  <c r="I933" i="1"/>
  <c r="N355" i="1"/>
  <c r="J355" i="1"/>
  <c r="I355" i="1"/>
  <c r="H358" i="1"/>
  <c r="M358" i="1"/>
  <c r="N816" i="1"/>
  <c r="K492" i="1"/>
  <c r="N246" i="1"/>
  <c r="L246" i="1"/>
  <c r="J246" i="1"/>
  <c r="H246" i="1"/>
  <c r="I587" i="1"/>
  <c r="H587" i="1"/>
  <c r="H672" i="1"/>
  <c r="J354" i="1"/>
  <c r="J664" i="1"/>
  <c r="H664" i="1"/>
  <c r="K156" i="1"/>
  <c r="J156" i="1"/>
  <c r="P336" i="1"/>
  <c r="I336" i="1"/>
  <c r="M812" i="1"/>
  <c r="H204" i="1"/>
  <c r="H205" i="1"/>
  <c r="H73" i="1"/>
  <c r="N73" i="1"/>
  <c r="H701" i="1"/>
  <c r="H323" i="1"/>
  <c r="M323" i="1"/>
  <c r="L234" i="1"/>
  <c r="H216" i="1"/>
  <c r="H816" i="1"/>
  <c r="J967" i="1"/>
  <c r="L115" i="1"/>
  <c r="N270" i="1"/>
  <c r="M294" i="1"/>
  <c r="H294" i="1"/>
  <c r="K354" i="1"/>
  <c r="P976" i="1"/>
  <c r="L976" i="1"/>
  <c r="J976" i="1"/>
  <c r="N262" i="1"/>
  <c r="I262" i="1"/>
  <c r="M262" i="1"/>
  <c r="H262" i="1"/>
  <c r="P262" i="1"/>
  <c r="L262" i="1"/>
  <c r="J782" i="1"/>
  <c r="N782" i="1"/>
  <c r="H782" i="1"/>
  <c r="L782" i="1"/>
  <c r="K797" i="1"/>
  <c r="N797" i="1"/>
  <c r="J797" i="1"/>
  <c r="P797" i="1"/>
  <c r="M797" i="1"/>
  <c r="I797" i="1"/>
  <c r="L797" i="1"/>
  <c r="H797" i="1"/>
  <c r="K46" i="1"/>
  <c r="H46" i="1"/>
  <c r="L281" i="1"/>
  <c r="H790" i="1"/>
  <c r="M790" i="1"/>
  <c r="J196" i="1"/>
  <c r="H431" i="1"/>
  <c r="I168" i="1"/>
  <c r="J634" i="1"/>
  <c r="N634" i="1"/>
  <c r="L148" i="1"/>
  <c r="K902" i="1"/>
  <c r="M653" i="1"/>
  <c r="M659" i="1"/>
  <c r="H545" i="1"/>
  <c r="M545" i="1"/>
  <c r="H497" i="1"/>
  <c r="L464" i="1"/>
  <c r="L821" i="1"/>
  <c r="K876" i="1"/>
  <c r="J955" i="1"/>
  <c r="I187" i="1"/>
  <c r="L941" i="1"/>
  <c r="L763" i="1"/>
  <c r="K764" i="1"/>
  <c r="L666" i="1"/>
  <c r="H803" i="1"/>
  <c r="N803" i="1"/>
  <c r="L893" i="1"/>
  <c r="H946" i="1"/>
  <c r="K680" i="1"/>
  <c r="L109" i="1"/>
  <c r="L631" i="1"/>
  <c r="N409" i="1"/>
  <c r="P124" i="1"/>
  <c r="L124" i="1"/>
  <c r="N124" i="1"/>
  <c r="I124" i="1"/>
  <c r="P344" i="1"/>
  <c r="M344" i="1"/>
  <c r="I344" i="1"/>
  <c r="K344" i="1"/>
  <c r="K669" i="1"/>
  <c r="P669" i="1"/>
  <c r="M669" i="1"/>
  <c r="I669" i="1"/>
  <c r="L302" i="1"/>
  <c r="K302" i="1"/>
  <c r="P302" i="1"/>
  <c r="I302" i="1"/>
  <c r="N447" i="1"/>
  <c r="K447" i="1"/>
  <c r="J447" i="1"/>
  <c r="I790" i="1"/>
  <c r="L196" i="1"/>
  <c r="K634" i="1"/>
  <c r="I545" i="1"/>
  <c r="N821" i="1"/>
  <c r="N955" i="1"/>
  <c r="M764" i="1"/>
  <c r="J803" i="1"/>
  <c r="H409" i="1"/>
  <c r="M800" i="1"/>
  <c r="L800" i="1"/>
  <c r="H800" i="1"/>
  <c r="L908" i="1"/>
  <c r="K908" i="1"/>
  <c r="L958" i="1"/>
  <c r="K958" i="1"/>
  <c r="J958" i="1"/>
  <c r="L314" i="1"/>
  <c r="N314" i="1"/>
  <c r="P314" i="1"/>
  <c r="I314" i="1"/>
  <c r="J314" i="1"/>
  <c r="L406" i="1"/>
  <c r="N406" i="1"/>
  <c r="J406" i="1"/>
  <c r="M748" i="1"/>
  <c r="J748" i="1"/>
  <c r="P748" i="1"/>
  <c r="H748" i="1"/>
  <c r="H475" i="1"/>
  <c r="N475" i="1"/>
  <c r="I475" i="1"/>
  <c r="K238" i="1"/>
  <c r="H238" i="1"/>
  <c r="P238" i="1"/>
  <c r="J654" i="1"/>
  <c r="M851" i="1"/>
  <c r="J306" i="1"/>
  <c r="J655" i="1"/>
  <c r="J886" i="1"/>
  <c r="I822" i="1"/>
  <c r="H794" i="1"/>
  <c r="M312" i="1"/>
  <c r="J952" i="1"/>
  <c r="N326" i="1"/>
  <c r="K588" i="1"/>
  <c r="H408" i="1"/>
  <c r="N408" i="1"/>
  <c r="J691" i="1"/>
  <c r="P504" i="1"/>
  <c r="I504" i="1"/>
  <c r="K881" i="1"/>
  <c r="N881" i="1"/>
  <c r="J881" i="1"/>
  <c r="P881" i="1"/>
  <c r="M881" i="1"/>
  <c r="I881" i="1"/>
  <c r="N970" i="1"/>
  <c r="L970" i="1"/>
  <c r="J970" i="1"/>
  <c r="P778" i="1"/>
  <c r="M778" i="1"/>
  <c r="I778" i="1"/>
  <c r="K778" i="1"/>
  <c r="J282" i="1"/>
  <c r="L282" i="1"/>
  <c r="J312" i="1"/>
  <c r="I326" i="1"/>
  <c r="I345" i="1"/>
  <c r="I588" i="1"/>
  <c r="M588" i="1"/>
  <c r="J778" i="1"/>
  <c r="H282" i="1"/>
  <c r="L825" i="1"/>
  <c r="N825" i="1"/>
  <c r="J825" i="1"/>
  <c r="H825" i="1"/>
  <c r="H881" i="1"/>
  <c r="I968" i="1"/>
  <c r="K679" i="1"/>
  <c r="I93" i="1"/>
  <c r="J787" i="1"/>
  <c r="M13" i="1"/>
  <c r="J39" i="1"/>
  <c r="N39" i="1"/>
  <c r="L854" i="1"/>
  <c r="M854" i="1"/>
  <c r="K707" i="1"/>
  <c r="H707" i="1"/>
  <c r="N707" i="1"/>
  <c r="L707" i="1"/>
  <c r="P854" i="1"/>
  <c r="K128" i="1"/>
  <c r="L128" i="1"/>
  <c r="P128" i="1"/>
  <c r="I128" i="1"/>
  <c r="H252" i="1"/>
  <c r="J875" i="1"/>
  <c r="L93" i="1"/>
  <c r="P93" i="1"/>
  <c r="H13" i="1"/>
  <c r="P13" i="1"/>
  <c r="H854" i="1"/>
  <c r="L309" i="1"/>
  <c r="J309" i="1"/>
  <c r="N309" i="1"/>
  <c r="H309" i="1"/>
  <c r="L263" i="1"/>
  <c r="K263" i="1"/>
  <c r="P398" i="1"/>
  <c r="M398" i="1"/>
  <c r="I398" i="1"/>
  <c r="K398" i="1"/>
  <c r="N398" i="1"/>
  <c r="J398" i="1"/>
  <c r="P682" i="1"/>
  <c r="H682" i="1"/>
  <c r="M682" i="1"/>
  <c r="L682" i="1"/>
  <c r="P896" i="1"/>
  <c r="J896" i="1"/>
  <c r="N896" i="1"/>
  <c r="H896" i="1"/>
  <c r="M896" i="1"/>
  <c r="P865" i="1"/>
  <c r="L865" i="1"/>
  <c r="N865" i="1"/>
  <c r="I865" i="1"/>
  <c r="M865" i="1"/>
  <c r="H865" i="1"/>
  <c r="P188" i="1"/>
  <c r="M188" i="1"/>
  <c r="I188" i="1"/>
  <c r="K188" i="1"/>
  <c r="N188" i="1"/>
  <c r="J188" i="1"/>
  <c r="P74" i="1"/>
  <c r="K74" i="1"/>
  <c r="M74" i="1"/>
  <c r="L74" i="1"/>
  <c r="N84" i="1"/>
  <c r="H84" i="1"/>
  <c r="M84" i="1"/>
  <c r="J84" i="1"/>
  <c r="P627" i="1"/>
  <c r="L627" i="1"/>
  <c r="M627" i="1"/>
  <c r="H627" i="1"/>
  <c r="I627" i="1"/>
  <c r="K627" i="1"/>
  <c r="I186" i="1"/>
  <c r="M186" i="1"/>
  <c r="K186" i="1"/>
  <c r="I468" i="1"/>
  <c r="H745" i="1"/>
  <c r="N745" i="1"/>
  <c r="K745" i="1"/>
  <c r="H398" i="1"/>
  <c r="P965" i="1"/>
  <c r="K965" i="1"/>
  <c r="H965" i="1"/>
  <c r="M965" i="1"/>
  <c r="N446" i="1"/>
  <c r="K446" i="1"/>
  <c r="L446" i="1"/>
  <c r="M585" i="1"/>
  <c r="P585" i="1"/>
  <c r="J585" i="1"/>
  <c r="N585" i="1"/>
  <c r="L585" i="1"/>
  <c r="H188" i="1"/>
  <c r="P428" i="1"/>
  <c r="M428" i="1"/>
  <c r="I428" i="1"/>
  <c r="N428" i="1"/>
  <c r="J428" i="1"/>
  <c r="K428" i="1"/>
  <c r="L428" i="1"/>
  <c r="P633" i="1"/>
  <c r="M633" i="1"/>
  <c r="I633" i="1"/>
  <c r="L633" i="1"/>
  <c r="J633" i="1"/>
  <c r="N633" i="1"/>
  <c r="H633" i="1"/>
  <c r="K633" i="1"/>
  <c r="K834" i="1"/>
  <c r="M834" i="1"/>
  <c r="H834" i="1"/>
  <c r="I834" i="1"/>
  <c r="N729" i="1"/>
  <c r="J729" i="1"/>
  <c r="K729" i="1"/>
  <c r="P729" i="1"/>
  <c r="I729" i="1"/>
  <c r="M729" i="1"/>
  <c r="L729" i="1"/>
  <c r="H729" i="1"/>
  <c r="P811" i="1"/>
  <c r="N811" i="1"/>
  <c r="H811" i="1"/>
  <c r="J811" i="1"/>
  <c r="L811" i="1"/>
  <c r="K811" i="1"/>
  <c r="P184" i="1"/>
  <c r="L184" i="1"/>
  <c r="K184" i="1"/>
  <c r="H184" i="1"/>
  <c r="N322" i="1"/>
  <c r="M322" i="1"/>
  <c r="H322" i="1"/>
  <c r="I322" i="1"/>
  <c r="P322" i="1"/>
  <c r="L322" i="1"/>
  <c r="K322" i="1"/>
  <c r="N108" i="1"/>
  <c r="J108" i="1"/>
  <c r="K108" i="1"/>
  <c r="P108" i="1"/>
  <c r="I108" i="1"/>
  <c r="M108" i="1"/>
  <c r="L108" i="1"/>
  <c r="L818" i="1"/>
  <c r="N818" i="1"/>
  <c r="H818" i="1"/>
  <c r="J818" i="1"/>
  <c r="K818" i="1"/>
  <c r="P353" i="1"/>
  <c r="M353" i="1"/>
  <c r="I353" i="1"/>
  <c r="N353" i="1"/>
  <c r="J353" i="1"/>
  <c r="K353" i="1"/>
  <c r="L353" i="1"/>
  <c r="H276" i="1"/>
  <c r="L276" i="1"/>
  <c r="K276" i="1"/>
  <c r="L870" i="1"/>
  <c r="H870" i="1"/>
  <c r="N870" i="1"/>
  <c r="H428" i="1"/>
  <c r="L26" i="1"/>
  <c r="P26" i="1"/>
  <c r="I26" i="1"/>
  <c r="N26" i="1"/>
  <c r="J26" i="1"/>
  <c r="H317" i="1"/>
  <c r="K213" i="1"/>
  <c r="N820" i="1"/>
  <c r="M824" i="1"/>
  <c r="K179" i="1"/>
  <c r="L160" i="1"/>
  <c r="N158" i="1"/>
  <c r="K684" i="1"/>
  <c r="K575" i="1"/>
  <c r="N575" i="1"/>
  <c r="L754" i="1"/>
  <c r="H347" i="1"/>
  <c r="J571" i="1"/>
  <c r="K571" i="1"/>
  <c r="P105" i="1"/>
  <c r="N225" i="1"/>
  <c r="J225" i="1"/>
  <c r="K225" i="1"/>
  <c r="K901" i="1"/>
  <c r="H901" i="1"/>
  <c r="M379" i="1"/>
  <c r="J379" i="1"/>
  <c r="N379" i="1"/>
  <c r="I379" i="1"/>
  <c r="P733" i="1"/>
  <c r="M733" i="1"/>
  <c r="I733" i="1"/>
  <c r="N733" i="1"/>
  <c r="J733" i="1"/>
  <c r="P897" i="1"/>
  <c r="L897" i="1"/>
  <c r="K248" i="1"/>
  <c r="N248" i="1"/>
  <c r="P639" i="1"/>
  <c r="L639" i="1"/>
  <c r="M639" i="1"/>
  <c r="H639" i="1"/>
  <c r="I566" i="1"/>
  <c r="H568" i="1"/>
  <c r="I568" i="1"/>
  <c r="N569" i="1"/>
  <c r="J569" i="1"/>
  <c r="K569" i="1"/>
  <c r="P920" i="1"/>
  <c r="M920" i="1"/>
  <c r="I920" i="1"/>
  <c r="N920" i="1"/>
  <c r="J920" i="1"/>
  <c r="N932" i="1"/>
  <c r="J932" i="1"/>
  <c r="P932" i="1"/>
  <c r="L932" i="1"/>
  <c r="I932" i="1"/>
  <c r="M932" i="1"/>
  <c r="H932" i="1"/>
  <c r="P259" i="1"/>
  <c r="L259" i="1"/>
  <c r="H259" i="1"/>
  <c r="K259" i="1"/>
  <c r="K49" i="1"/>
  <c r="H49" i="1"/>
  <c r="L49" i="1"/>
  <c r="J117" i="1"/>
  <c r="H117" i="1"/>
  <c r="N117" i="1"/>
  <c r="I117" i="1"/>
  <c r="L285" i="1"/>
  <c r="K285" i="1"/>
  <c r="K333" i="1"/>
  <c r="J448" i="1"/>
  <c r="J213" i="1"/>
  <c r="M288" i="1"/>
  <c r="L313" i="1"/>
  <c r="K330" i="1"/>
  <c r="J179" i="1"/>
  <c r="K160" i="1"/>
  <c r="J158" i="1"/>
  <c r="M684" i="1"/>
  <c r="H684" i="1"/>
  <c r="P903" i="1"/>
  <c r="J903" i="1"/>
  <c r="H754" i="1"/>
  <c r="L560" i="1"/>
  <c r="H560" i="1"/>
  <c r="H71" i="1"/>
  <c r="L71" i="1"/>
  <c r="L733" i="1"/>
  <c r="H723" i="1"/>
  <c r="K723" i="1"/>
  <c r="H944" i="1"/>
  <c r="N944" i="1"/>
  <c r="H897" i="1"/>
  <c r="H57" i="1"/>
  <c r="K57" i="1"/>
  <c r="J248" i="1"/>
  <c r="J130" i="1"/>
  <c r="K130" i="1"/>
  <c r="K639" i="1"/>
  <c r="H665" i="1"/>
  <c r="M665" i="1"/>
  <c r="L567" i="1"/>
  <c r="H567" i="1"/>
  <c r="N567" i="1"/>
  <c r="L569" i="1"/>
  <c r="M105" i="1"/>
  <c r="H105" i="1"/>
  <c r="N105" i="1"/>
  <c r="I105" i="1"/>
  <c r="H628" i="1"/>
  <c r="K628" i="1"/>
  <c r="M227" i="1"/>
  <c r="K227" i="1"/>
  <c r="M749" i="1"/>
  <c r="I749" i="1"/>
  <c r="K749" i="1"/>
  <c r="K801" i="1"/>
  <c r="N801" i="1"/>
  <c r="L801" i="1"/>
  <c r="N623" i="1"/>
  <c r="J623" i="1"/>
  <c r="K623" i="1"/>
  <c r="H591" i="1"/>
  <c r="N591" i="1"/>
  <c r="L489" i="1"/>
  <c r="K298" i="1"/>
  <c r="L159" i="1"/>
  <c r="J770" i="1"/>
  <c r="J808" i="1"/>
  <c r="H393" i="1"/>
  <c r="H280" i="1"/>
  <c r="K871" i="1"/>
  <c r="L739" i="1"/>
  <c r="N214" i="1"/>
  <c r="I923" i="1"/>
  <c r="P923" i="1"/>
  <c r="L76" i="1"/>
  <c r="P625" i="1"/>
  <c r="K625" i="1"/>
  <c r="J226" i="1"/>
  <c r="K301" i="1"/>
  <c r="N853" i="1"/>
  <c r="I853" i="1"/>
  <c r="P714" i="1"/>
  <c r="I714" i="1"/>
  <c r="L714" i="1"/>
  <c r="M479" i="1"/>
  <c r="H479" i="1"/>
  <c r="N479" i="1"/>
  <c r="I479" i="1"/>
  <c r="M576" i="1"/>
  <c r="K576" i="1"/>
  <c r="L361" i="1"/>
  <c r="K361" i="1"/>
  <c r="H361" i="1"/>
  <c r="N361" i="1"/>
  <c r="H424" i="1"/>
  <c r="N424" i="1"/>
  <c r="N582" i="1"/>
  <c r="K582" i="1"/>
  <c r="J582" i="1"/>
  <c r="L582" i="1"/>
  <c r="L809" i="1"/>
  <c r="M809" i="1"/>
  <c r="N368" i="1"/>
  <c r="J368" i="1"/>
  <c r="K368" i="1"/>
  <c r="M236" i="1"/>
  <c r="H236" i="1"/>
  <c r="P236" i="1"/>
  <c r="L236" i="1"/>
  <c r="I236" i="1"/>
  <c r="J236" i="1"/>
  <c r="N727" i="1"/>
  <c r="H727" i="1"/>
  <c r="M727" i="1"/>
  <c r="I727" i="1"/>
  <c r="J847" i="1"/>
  <c r="N847" i="1"/>
  <c r="H847" i="1"/>
  <c r="K847" i="1"/>
  <c r="L847" i="1"/>
  <c r="N223" i="1"/>
  <c r="H223" i="1"/>
  <c r="J223" i="1"/>
  <c r="I223" i="1"/>
  <c r="K739" i="1"/>
  <c r="J76" i="1"/>
  <c r="M301" i="1"/>
  <c r="H301" i="1"/>
  <c r="P578" i="1"/>
  <c r="J578" i="1"/>
  <c r="P77" i="1"/>
  <c r="L77" i="1"/>
  <c r="P430" i="1"/>
  <c r="M430" i="1"/>
  <c r="I430" i="1"/>
  <c r="N430" i="1"/>
  <c r="J430" i="1"/>
  <c r="H809" i="1"/>
  <c r="K844" i="1"/>
  <c r="L844" i="1"/>
  <c r="I843" i="1"/>
  <c r="K843" i="1"/>
  <c r="L368" i="1"/>
  <c r="K251" i="1"/>
  <c r="N251" i="1"/>
  <c r="N200" i="1"/>
  <c r="J200" i="1"/>
  <c r="M200" i="1"/>
  <c r="H200" i="1"/>
  <c r="I200" i="1"/>
  <c r="L630" i="1"/>
  <c r="J630" i="1"/>
  <c r="K630" i="1"/>
  <c r="N443" i="1"/>
  <c r="H443" i="1"/>
  <c r="L443" i="1"/>
  <c r="J443" i="1"/>
  <c r="K443" i="1"/>
  <c r="K176" i="1"/>
  <c r="J176" i="1"/>
  <c r="I892" i="1"/>
  <c r="M892" i="1"/>
  <c r="K78" i="1"/>
  <c r="K161" i="1"/>
  <c r="L950" i="1"/>
  <c r="L111" i="1"/>
  <c r="I712" i="1"/>
  <c r="M712" i="1"/>
  <c r="K694" i="1"/>
  <c r="N758" i="1"/>
  <c r="H758" i="1"/>
  <c r="L687" i="1"/>
  <c r="K687" i="1"/>
  <c r="J687" i="1"/>
  <c r="M461" i="1"/>
  <c r="I604" i="1"/>
  <c r="M604" i="1"/>
  <c r="H604" i="1"/>
  <c r="P604" i="1"/>
  <c r="K604" i="1"/>
  <c r="I165" i="1"/>
  <c r="M165" i="1"/>
  <c r="H165" i="1"/>
  <c r="P165" i="1"/>
  <c r="K165" i="1"/>
  <c r="N713" i="1"/>
  <c r="J713" i="1"/>
  <c r="P433" i="1"/>
  <c r="K433" i="1"/>
  <c r="L433" i="1"/>
  <c r="N324" i="1"/>
  <c r="I324" i="1"/>
  <c r="K397" i="1"/>
  <c r="H397" i="1"/>
  <c r="K895" i="1"/>
  <c r="N895" i="1"/>
  <c r="J895" i="1"/>
  <c r="L895" i="1"/>
  <c r="M895" i="1"/>
  <c r="P191" i="1"/>
  <c r="M191" i="1"/>
  <c r="I191" i="1"/>
  <c r="J191" i="1"/>
  <c r="N191" i="1"/>
  <c r="H191" i="1"/>
  <c r="K191" i="1"/>
  <c r="L191" i="1"/>
  <c r="P274" i="1"/>
  <c r="H274" i="1"/>
  <c r="J274" i="1"/>
  <c r="K222" i="1"/>
  <c r="J877" i="1"/>
  <c r="P360" i="1"/>
  <c r="M360" i="1"/>
  <c r="I360" i="1"/>
  <c r="K572" i="1"/>
  <c r="H980" i="1"/>
  <c r="P980" i="1"/>
  <c r="P549" i="1"/>
  <c r="H549" i="1"/>
  <c r="N420" i="1"/>
  <c r="I420" i="1"/>
  <c r="M420" i="1"/>
  <c r="H420" i="1"/>
  <c r="J607" i="1"/>
  <c r="K607" i="1"/>
  <c r="N715" i="1"/>
  <c r="I715" i="1"/>
  <c r="N47" i="1"/>
  <c r="K47" i="1"/>
  <c r="N51" i="1"/>
  <c r="J51" i="1"/>
  <c r="P51" i="1"/>
  <c r="M51" i="1"/>
  <c r="I51" i="1"/>
  <c r="M709" i="1"/>
  <c r="K709" i="1"/>
  <c r="I709" i="1"/>
  <c r="P299" i="1"/>
  <c r="H299" i="1"/>
  <c r="M299" i="1"/>
  <c r="K299" i="1"/>
  <c r="J617" i="1"/>
  <c r="H617" i="1"/>
  <c r="P235" i="1"/>
  <c r="L235" i="1"/>
  <c r="I572" i="1"/>
  <c r="K550" i="1"/>
  <c r="P469" i="1"/>
  <c r="H469" i="1"/>
  <c r="M469" i="1"/>
  <c r="L618" i="1"/>
  <c r="H618" i="1"/>
  <c r="P233" i="1"/>
  <c r="N233" i="1"/>
  <c r="H233" i="1"/>
  <c r="L233" i="1"/>
  <c r="L829" i="1"/>
  <c r="K829" i="1"/>
  <c r="H829" i="1"/>
  <c r="M742" i="1"/>
  <c r="H742" i="1"/>
  <c r="P742" i="1"/>
  <c r="L742" i="1"/>
  <c r="P743" i="1"/>
  <c r="J743" i="1"/>
  <c r="I743" i="1"/>
  <c r="L603" i="1"/>
  <c r="H603" i="1"/>
  <c r="N603" i="1"/>
  <c r="L869" i="1"/>
  <c r="I299" i="1"/>
  <c r="H483" i="1"/>
  <c r="M716" i="1"/>
  <c r="K48" i="1"/>
  <c r="H100" i="1"/>
  <c r="K526" i="1"/>
  <c r="I677" i="1"/>
  <c r="J744" i="1"/>
  <c r="K744" i="1"/>
  <c r="N744" i="1"/>
  <c r="P102" i="1"/>
  <c r="M102" i="1"/>
  <c r="K677" i="1"/>
  <c r="K146" i="1"/>
  <c r="N146" i="1"/>
  <c r="I146" i="1"/>
  <c r="P146" i="1"/>
  <c r="L146" i="1"/>
  <c r="P67" i="1"/>
  <c r="L67" i="1"/>
  <c r="K153" i="1"/>
  <c r="L153" i="1"/>
  <c r="I153" i="1"/>
  <c r="P153" i="1"/>
  <c r="N465" i="1"/>
  <c r="H465" i="1"/>
  <c r="M465" i="1"/>
  <c r="J465" i="1"/>
  <c r="N750" i="1"/>
  <c r="H750" i="1"/>
  <c r="J750" i="1"/>
  <c r="I750" i="1"/>
  <c r="P454" i="1"/>
  <c r="L454" i="1"/>
  <c r="N636" i="1"/>
  <c r="H636" i="1"/>
  <c r="P52" i="1"/>
  <c r="K52" i="1"/>
  <c r="N169" i="1"/>
  <c r="K535" i="1"/>
  <c r="N535" i="1"/>
  <c r="N616" i="1"/>
  <c r="L616" i="1"/>
  <c r="P616" i="1"/>
  <c r="P594" i="1"/>
  <c r="H594" i="1"/>
  <c r="K325" i="1"/>
  <c r="N325" i="1"/>
  <c r="I325" i="1"/>
  <c r="M325" i="1"/>
  <c r="H325" i="1"/>
  <c r="J325" i="1"/>
  <c r="H127" i="1"/>
  <c r="I127" i="1"/>
  <c r="N700" i="1"/>
  <c r="I700" i="1"/>
  <c r="L700" i="1"/>
  <c r="P700" i="1"/>
  <c r="J700" i="1"/>
  <c r="H700" i="1"/>
  <c r="M700" i="1"/>
  <c r="K859" i="1"/>
  <c r="I859" i="1"/>
  <c r="P859" i="1"/>
  <c r="M583" i="1"/>
  <c r="P690" i="1"/>
  <c r="L690" i="1"/>
  <c r="H690" i="1"/>
  <c r="M690" i="1"/>
  <c r="K690" i="1"/>
  <c r="I690" i="1"/>
  <c r="L615" i="1"/>
  <c r="K615" i="1"/>
  <c r="L136" i="1"/>
  <c r="K873" i="1"/>
  <c r="I873" i="1"/>
  <c r="M873" i="1"/>
  <c r="I307" i="1"/>
  <c r="M307" i="1"/>
  <c r="H307" i="1"/>
  <c r="J912" i="1"/>
  <c r="N912" i="1"/>
  <c r="L859" i="1"/>
  <c r="K765" i="1"/>
  <c r="M765" i="1"/>
  <c r="H765" i="1"/>
  <c r="P765" i="1"/>
  <c r="L765" i="1"/>
  <c r="L660" i="1"/>
  <c r="P331" i="1"/>
  <c r="M331" i="1"/>
  <c r="I331" i="1"/>
  <c r="H337" i="1"/>
  <c r="H206" i="1"/>
  <c r="N375" i="1"/>
  <c r="J375" i="1"/>
  <c r="I507" i="1"/>
  <c r="J339" i="1"/>
  <c r="I540" i="1"/>
  <c r="P505" i="1"/>
  <c r="L505" i="1"/>
  <c r="J284" i="1"/>
  <c r="P151" i="1"/>
  <c r="H151" i="1"/>
  <c r="M962" i="1"/>
  <c r="H962" i="1"/>
  <c r="P339" i="1"/>
  <c r="M339" i="1"/>
  <c r="I339" i="1"/>
  <c r="K541" i="1"/>
  <c r="N541" i="1"/>
  <c r="L769" i="1"/>
  <c r="N540" i="1"/>
  <c r="J540" i="1"/>
  <c r="J232" i="1"/>
  <c r="K232" i="1"/>
  <c r="N931" i="1"/>
  <c r="K931" i="1"/>
  <c r="N601" i="1"/>
  <c r="L601" i="1"/>
  <c r="J601" i="1"/>
  <c r="J557" i="1"/>
  <c r="H557" i="1"/>
  <c r="P557" i="1"/>
  <c r="H147" i="1"/>
  <c r="I689" i="1"/>
  <c r="M256" i="1"/>
  <c r="J54" i="1"/>
  <c r="H54" i="1"/>
  <c r="I670" i="1"/>
  <c r="J670" i="1"/>
  <c r="I53" i="1"/>
  <c r="M519" i="1"/>
  <c r="H519" i="1"/>
  <c r="M589" i="1"/>
  <c r="H589" i="1"/>
  <c r="M138" i="1"/>
  <c r="L138" i="1"/>
  <c r="K138" i="1"/>
  <c r="P414" i="1"/>
  <c r="L414" i="1"/>
  <c r="N414" i="1"/>
  <c r="H414" i="1"/>
  <c r="M414" i="1"/>
  <c r="L145" i="1"/>
  <c r="K145" i="1"/>
  <c r="H145" i="1"/>
  <c r="N145" i="1"/>
  <c r="L697" i="1"/>
  <c r="K697" i="1"/>
  <c r="P5" i="1"/>
  <c r="N5" i="1"/>
  <c r="H5" i="1"/>
  <c r="J5" i="1"/>
  <c r="L5" i="1"/>
  <c r="K5" i="1"/>
  <c r="H37" i="1"/>
  <c r="L37" i="1"/>
  <c r="L15" i="1"/>
  <c r="M15" i="1"/>
  <c r="P15" i="1"/>
  <c r="I15" i="1"/>
  <c r="H15" i="1"/>
  <c r="H667" i="1"/>
  <c r="J211" i="1"/>
  <c r="K211" i="1"/>
  <c r="M773" i="1"/>
  <c r="H773" i="1"/>
  <c r="N773" i="1"/>
  <c r="I773" i="1"/>
  <c r="J773" i="1"/>
  <c r="P773" i="1"/>
  <c r="L773" i="1"/>
  <c r="P18" i="1"/>
  <c r="N18" i="1"/>
  <c r="H18" i="1"/>
  <c r="J18" i="1"/>
  <c r="L18" i="1"/>
  <c r="K18" i="1"/>
  <c r="M20" i="1"/>
  <c r="I4" i="1"/>
  <c r="H17" i="1"/>
  <c r="L17" i="1"/>
  <c r="I43" i="1"/>
  <c r="L119" i="1"/>
  <c r="M119" i="1"/>
  <c r="N305" i="1"/>
  <c r="P305" i="1"/>
  <c r="J305" i="1"/>
  <c r="L305" i="1"/>
  <c r="M305" i="1"/>
  <c r="P209" i="1"/>
  <c r="M209" i="1"/>
  <c r="I209" i="1"/>
  <c r="N209" i="1"/>
  <c r="J209" i="1"/>
  <c r="K209" i="1"/>
  <c r="P755" i="1"/>
  <c r="M755" i="1"/>
  <c r="I755" i="1"/>
  <c r="N755" i="1"/>
  <c r="J755" i="1"/>
  <c r="L755" i="1"/>
  <c r="K755" i="1"/>
  <c r="M525" i="1"/>
  <c r="H525" i="1"/>
  <c r="N525" i="1"/>
  <c r="I525" i="1"/>
  <c r="J525" i="1"/>
  <c r="P525" i="1"/>
  <c r="L525" i="1"/>
  <c r="N31" i="1"/>
  <c r="J31" i="1"/>
  <c r="K31" i="1"/>
  <c r="N22" i="1"/>
  <c r="J22" i="1"/>
  <c r="K22" i="1"/>
  <c r="P21" i="1"/>
  <c r="I21" i="1"/>
  <c r="L21" i="1"/>
  <c r="H6" i="1"/>
  <c r="L135" i="1"/>
  <c r="M135" i="1"/>
  <c r="N9" i="1"/>
  <c r="J9" i="1"/>
  <c r="K9" i="1"/>
  <c r="P29" i="1"/>
  <c r="N29" i="1"/>
  <c r="H29" i="1"/>
  <c r="J29" i="1"/>
  <c r="N68" i="1"/>
  <c r="J68" i="1"/>
  <c r="K68" i="1"/>
  <c r="P68" i="1"/>
  <c r="I68" i="1"/>
  <c r="N163" i="1"/>
  <c r="J163" i="1"/>
  <c r="K163" i="1"/>
  <c r="L163" i="1"/>
  <c r="P740" i="1"/>
  <c r="J740" i="1"/>
  <c r="N609" i="1"/>
  <c r="J609" i="1"/>
  <c r="K609" i="1"/>
  <c r="M609" i="1"/>
  <c r="P609" i="1"/>
  <c r="I609" i="1"/>
  <c r="K938" i="1"/>
  <c r="N938" i="1"/>
  <c r="I938" i="1"/>
  <c r="L938" i="1"/>
  <c r="M938" i="1"/>
  <c r="H938" i="1"/>
  <c r="P938" i="1"/>
  <c r="J938" i="1"/>
  <c r="H286" i="1"/>
  <c r="K286" i="1"/>
  <c r="M286" i="1"/>
  <c r="P827" i="1"/>
  <c r="L827" i="1"/>
  <c r="N827" i="1"/>
  <c r="H827" i="1"/>
  <c r="J827" i="1"/>
  <c r="K827" i="1"/>
  <c r="P389" i="1"/>
  <c r="L389" i="1"/>
  <c r="K389" i="1"/>
  <c r="N389" i="1"/>
  <c r="H389" i="1"/>
  <c r="J389" i="1"/>
  <c r="P806" i="1"/>
  <c r="M806" i="1"/>
  <c r="I806" i="1"/>
  <c r="L806" i="1"/>
  <c r="N806" i="1"/>
  <c r="H806" i="1"/>
  <c r="J806" i="1"/>
  <c r="K806" i="1"/>
  <c r="J774" i="1"/>
  <c r="K774" i="1"/>
  <c r="P266" i="1"/>
  <c r="L266" i="1"/>
  <c r="H266" i="1"/>
  <c r="K266" i="1"/>
  <c r="N266" i="1"/>
  <c r="J266" i="1"/>
  <c r="K484" i="1"/>
  <c r="M484" i="1"/>
  <c r="H484" i="1"/>
  <c r="P484" i="1"/>
  <c r="J484" i="1"/>
  <c r="L484" i="1"/>
  <c r="I484" i="1"/>
  <c r="N484" i="1"/>
  <c r="M894" i="1"/>
  <c r="J894" i="1"/>
  <c r="I894" i="1"/>
  <c r="N894" i="1"/>
  <c r="M606" i="1"/>
  <c r="K606" i="1"/>
  <c r="I606" i="1"/>
  <c r="P866" i="1"/>
  <c r="I866" i="1"/>
  <c r="P60" i="1"/>
  <c r="L60" i="1"/>
  <c r="N4" i="1"/>
  <c r="J4" i="1"/>
  <c r="K4" i="1"/>
  <c r="P33" i="1"/>
  <c r="L33" i="1"/>
  <c r="N33" i="1"/>
  <c r="H33" i="1"/>
  <c r="P23" i="1"/>
  <c r="I23" i="1"/>
  <c r="L23" i="1"/>
  <c r="L31" i="1"/>
  <c r="P27" i="1"/>
  <c r="L27" i="1"/>
  <c r="N27" i="1"/>
  <c r="H27" i="1"/>
  <c r="L22" i="1"/>
  <c r="H21" i="1"/>
  <c r="H32" i="1"/>
  <c r="P8" i="1"/>
  <c r="N8" i="1"/>
  <c r="H8" i="1"/>
  <c r="J8" i="1"/>
  <c r="H135" i="1"/>
  <c r="N43" i="1"/>
  <c r="J43" i="1"/>
  <c r="K43" i="1"/>
  <c r="P36" i="1"/>
  <c r="I36" i="1"/>
  <c r="L36" i="1"/>
  <c r="L9" i="1"/>
  <c r="P14" i="1"/>
  <c r="L14" i="1"/>
  <c r="N14" i="1"/>
  <c r="H14" i="1"/>
  <c r="P40" i="1"/>
  <c r="N40" i="1"/>
  <c r="H40" i="1"/>
  <c r="J40" i="1"/>
  <c r="K29" i="1"/>
  <c r="L25" i="1"/>
  <c r="M25" i="1"/>
  <c r="L68" i="1"/>
  <c r="I163" i="1"/>
  <c r="P199" i="1"/>
  <c r="K199" i="1"/>
  <c r="L199" i="1"/>
  <c r="M199" i="1"/>
  <c r="H609" i="1"/>
  <c r="H99" i="1"/>
  <c r="H394" i="1"/>
  <c r="M394" i="1"/>
  <c r="L376" i="1"/>
  <c r="H376" i="1"/>
  <c r="K376" i="1"/>
  <c r="N451" i="1"/>
  <c r="L451" i="1"/>
  <c r="H451" i="1"/>
  <c r="K451" i="1"/>
  <c r="N107" i="1"/>
  <c r="J107" i="1"/>
  <c r="K107" i="1"/>
  <c r="N686" i="1"/>
  <c r="J686" i="1"/>
  <c r="K686" i="1"/>
  <c r="J254" i="1"/>
  <c r="K254" i="1"/>
  <c r="K705" i="1"/>
  <c r="K193" i="1"/>
  <c r="I701" i="1"/>
  <c r="P701" i="1"/>
  <c r="H815" i="1"/>
  <c r="K815" i="1"/>
  <c r="P91" i="1"/>
  <c r="L597" i="1"/>
  <c r="H597" i="1"/>
  <c r="N510" i="1"/>
  <c r="J510" i="1"/>
  <c r="K510" i="1"/>
  <c r="I495" i="1"/>
  <c r="K495" i="1"/>
  <c r="P562" i="1"/>
  <c r="L562" i="1"/>
  <c r="M562" i="1"/>
  <c r="H562" i="1"/>
  <c r="I562" i="1"/>
  <c r="N332" i="1"/>
  <c r="P332" i="1"/>
  <c r="J332" i="1"/>
  <c r="L332" i="1"/>
  <c r="H332" i="1"/>
  <c r="N308" i="1"/>
  <c r="J308" i="1"/>
  <c r="K308" i="1"/>
  <c r="P308" i="1"/>
  <c r="I308" i="1"/>
  <c r="L308" i="1"/>
  <c r="J874" i="1"/>
  <c r="K874" i="1"/>
  <c r="L916" i="1"/>
  <c r="K916" i="1"/>
  <c r="N916" i="1"/>
  <c r="H916" i="1"/>
  <c r="K122" i="1"/>
  <c r="P122" i="1"/>
  <c r="L122" i="1"/>
  <c r="M122" i="1"/>
  <c r="H122" i="1"/>
  <c r="I122" i="1"/>
  <c r="J122" i="1"/>
  <c r="N122" i="1"/>
  <c r="I207" i="1"/>
  <c r="J207" i="1"/>
  <c r="P202" i="1"/>
  <c r="K202" i="1"/>
  <c r="L202" i="1"/>
  <c r="P703" i="1"/>
  <c r="I703" i="1"/>
  <c r="L703" i="1"/>
  <c r="I183" i="1"/>
  <c r="K183" i="1"/>
  <c r="P216" i="1"/>
  <c r="M216" i="1"/>
  <c r="I216" i="1"/>
  <c r="N216" i="1"/>
  <c r="J216" i="1"/>
  <c r="M243" i="1"/>
  <c r="K243" i="1"/>
  <c r="L243" i="1"/>
  <c r="P243" i="1"/>
  <c r="H243" i="1"/>
  <c r="K181" i="1"/>
  <c r="M181" i="1"/>
  <c r="H181" i="1"/>
  <c r="N181" i="1"/>
  <c r="I181" i="1"/>
  <c r="J181" i="1"/>
  <c r="P181" i="1"/>
  <c r="L181" i="1"/>
  <c r="L799" i="1"/>
  <c r="P799" i="1"/>
  <c r="H799" i="1"/>
  <c r="K799" i="1"/>
  <c r="M799" i="1"/>
  <c r="H789" i="1"/>
  <c r="K789" i="1"/>
  <c r="N789" i="1"/>
  <c r="P705" i="1"/>
  <c r="M705" i="1"/>
  <c r="I705" i="1"/>
  <c r="N705" i="1"/>
  <c r="J705" i="1"/>
  <c r="P193" i="1"/>
  <c r="M193" i="1"/>
  <c r="I193" i="1"/>
  <c r="N193" i="1"/>
  <c r="J193" i="1"/>
  <c r="N701" i="1"/>
  <c r="J701" i="1"/>
  <c r="K701" i="1"/>
  <c r="M91" i="1"/>
  <c r="H91" i="1"/>
  <c r="N91" i="1"/>
  <c r="I91" i="1"/>
  <c r="P671" i="1"/>
  <c r="M671" i="1"/>
  <c r="I671" i="1"/>
  <c r="L671" i="1"/>
  <c r="N671" i="1"/>
  <c r="H671" i="1"/>
  <c r="K671" i="1"/>
  <c r="J671" i="1"/>
  <c r="N215" i="1"/>
  <c r="I215" i="1"/>
  <c r="P215" i="1"/>
  <c r="J215" i="1"/>
  <c r="L215" i="1"/>
  <c r="H215" i="1"/>
  <c r="M215" i="1"/>
  <c r="L959" i="1"/>
  <c r="H959" i="1"/>
  <c r="J959" i="1"/>
  <c r="N959" i="1"/>
  <c r="K342" i="1"/>
  <c r="M342" i="1"/>
  <c r="H342" i="1"/>
  <c r="N342" i="1"/>
  <c r="I342" i="1"/>
  <c r="J342" i="1"/>
  <c r="P342" i="1"/>
  <c r="L342" i="1"/>
  <c r="N943" i="1"/>
  <c r="H943" i="1"/>
  <c r="K943" i="1"/>
  <c r="M883" i="1"/>
  <c r="H883" i="1"/>
  <c r="P883" i="1"/>
  <c r="K883" i="1"/>
  <c r="P425" i="1"/>
  <c r="M425" i="1"/>
  <c r="I425" i="1"/>
  <c r="N425" i="1"/>
  <c r="J425" i="1"/>
  <c r="N230" i="1"/>
  <c r="J230" i="1"/>
  <c r="K230" i="1"/>
  <c r="P185" i="1"/>
  <c r="M185" i="1"/>
  <c r="I185" i="1"/>
  <c r="N185" i="1"/>
  <c r="J185" i="1"/>
  <c r="N349" i="1"/>
  <c r="P349" i="1"/>
  <c r="J349" i="1"/>
  <c r="L349" i="1"/>
  <c r="N553" i="1"/>
  <c r="H553" i="1"/>
  <c r="J553" i="1"/>
  <c r="L553" i="1"/>
  <c r="N902" i="1"/>
  <c r="J902" i="1"/>
  <c r="P902" i="1"/>
  <c r="L902" i="1"/>
  <c r="M902" i="1"/>
  <c r="H902" i="1"/>
  <c r="N839" i="1"/>
  <c r="I839" i="1"/>
  <c r="L839" i="1"/>
  <c r="M839" i="1"/>
  <c r="H839" i="1"/>
  <c r="L481" i="1"/>
  <c r="H481" i="1"/>
  <c r="N481" i="1"/>
  <c r="P802" i="1"/>
  <c r="L802" i="1"/>
  <c r="N802" i="1"/>
  <c r="H802" i="1"/>
  <c r="I802" i="1"/>
  <c r="J802" i="1"/>
  <c r="I756" i="1"/>
  <c r="L756" i="1"/>
  <c r="K756" i="1"/>
  <c r="M756" i="1"/>
  <c r="P817" i="1"/>
  <c r="M817" i="1"/>
  <c r="I817" i="1"/>
  <c r="J817" i="1"/>
  <c r="L817" i="1"/>
  <c r="N817" i="1"/>
  <c r="P918" i="1"/>
  <c r="K918" i="1"/>
  <c r="I918" i="1"/>
  <c r="L918" i="1"/>
  <c r="P415" i="1"/>
  <c r="K415" i="1"/>
  <c r="I415" i="1"/>
  <c r="L415" i="1"/>
  <c r="L392" i="1"/>
  <c r="N392" i="1"/>
  <c r="H392" i="1"/>
  <c r="J392" i="1"/>
  <c r="K392" i="1"/>
  <c r="K281" i="1"/>
  <c r="M281" i="1"/>
  <c r="H281" i="1"/>
  <c r="N281" i="1"/>
  <c r="I281" i="1"/>
  <c r="J734" i="1"/>
  <c r="L734" i="1"/>
  <c r="N734" i="1"/>
  <c r="P113" i="1"/>
  <c r="M113" i="1"/>
  <c r="I113" i="1"/>
  <c r="N113" i="1"/>
  <c r="H113" i="1"/>
  <c r="J113" i="1"/>
  <c r="N600" i="1"/>
  <c r="J600" i="1"/>
  <c r="L600" i="1"/>
  <c r="N358" i="1"/>
  <c r="I358" i="1"/>
  <c r="P358" i="1"/>
  <c r="K358" i="1"/>
  <c r="L358" i="1"/>
  <c r="J838" i="1"/>
  <c r="L838" i="1"/>
  <c r="N838" i="1"/>
  <c r="N653" i="1"/>
  <c r="I653" i="1"/>
  <c r="P653" i="1"/>
  <c r="K653" i="1"/>
  <c r="L653" i="1"/>
  <c r="J547" i="1"/>
  <c r="L547" i="1"/>
  <c r="N547" i="1"/>
  <c r="N182" i="1"/>
  <c r="I182" i="1"/>
  <c r="P182" i="1"/>
  <c r="K182" i="1"/>
  <c r="L182" i="1"/>
  <c r="H182" i="1"/>
  <c r="K858" i="1"/>
  <c r="H858" i="1"/>
  <c r="M858" i="1"/>
  <c r="L776" i="1"/>
  <c r="M776" i="1"/>
  <c r="P776" i="1"/>
  <c r="H776" i="1"/>
  <c r="I268" i="1"/>
  <c r="J268" i="1"/>
  <c r="K455" i="1"/>
  <c r="P455" i="1"/>
  <c r="L455" i="1"/>
  <c r="M455" i="1"/>
  <c r="H455" i="1"/>
  <c r="K590" i="1"/>
  <c r="I590" i="1"/>
  <c r="P281" i="1"/>
  <c r="K976" i="1"/>
  <c r="M976" i="1"/>
  <c r="H976" i="1"/>
  <c r="N976" i="1"/>
  <c r="I976" i="1"/>
  <c r="N746" i="1"/>
  <c r="P746" i="1"/>
  <c r="L746" i="1"/>
  <c r="K746" i="1"/>
  <c r="M746" i="1"/>
  <c r="N966" i="1"/>
  <c r="H966" i="1"/>
  <c r="N693" i="1"/>
  <c r="J693" i="1"/>
  <c r="P693" i="1"/>
  <c r="L693" i="1"/>
  <c r="M693" i="1"/>
  <c r="H693" i="1"/>
  <c r="K264" i="1"/>
  <c r="H264" i="1"/>
  <c r="P751" i="1"/>
  <c r="M751" i="1"/>
  <c r="I751" i="1"/>
  <c r="L751" i="1"/>
  <c r="K751" i="1"/>
  <c r="N751" i="1"/>
  <c r="M134" i="1"/>
  <c r="J134" i="1"/>
  <c r="N753" i="1"/>
  <c r="K753" i="1"/>
  <c r="K58" i="1"/>
  <c r="H58" i="1"/>
  <c r="M58" i="1"/>
  <c r="N849" i="1"/>
  <c r="J849" i="1"/>
  <c r="P849" i="1"/>
  <c r="L849" i="1"/>
  <c r="K849" i="1"/>
  <c r="M849" i="1"/>
  <c r="I849" i="1"/>
  <c r="H849" i="1"/>
  <c r="N587" i="1"/>
  <c r="P587" i="1"/>
  <c r="L587" i="1"/>
  <c r="K587" i="1"/>
  <c r="M587" i="1"/>
  <c r="P876" i="1"/>
  <c r="M876" i="1"/>
  <c r="I876" i="1"/>
  <c r="L876" i="1"/>
  <c r="N876" i="1"/>
  <c r="H876" i="1"/>
  <c r="N187" i="1"/>
  <c r="M187" i="1"/>
  <c r="H187" i="1"/>
  <c r="L187" i="1"/>
  <c r="P156" i="1"/>
  <c r="M156" i="1"/>
  <c r="I156" i="1"/>
  <c r="L156" i="1"/>
  <c r="N156" i="1"/>
  <c r="H156" i="1"/>
  <c r="P121" i="1"/>
  <c r="M121" i="1"/>
  <c r="I121" i="1"/>
  <c r="L121" i="1"/>
  <c r="N121" i="1"/>
  <c r="H121" i="1"/>
  <c r="P951" i="1"/>
  <c r="M951" i="1"/>
  <c r="I951" i="1"/>
  <c r="L951" i="1"/>
  <c r="N951" i="1"/>
  <c r="H951" i="1"/>
  <c r="M315" i="1"/>
  <c r="H315" i="1"/>
  <c r="P315" i="1"/>
  <c r="K315" i="1"/>
  <c r="L315" i="1"/>
  <c r="N114" i="1"/>
  <c r="H114" i="1"/>
  <c r="M114" i="1"/>
  <c r="M822" i="1"/>
  <c r="H822" i="1"/>
  <c r="N822" i="1"/>
  <c r="J822" i="1"/>
  <c r="L822" i="1"/>
  <c r="P346" i="1"/>
  <c r="L346" i="1"/>
  <c r="M346" i="1"/>
  <c r="J346" i="1"/>
  <c r="N346" i="1"/>
  <c r="N90" i="1"/>
  <c r="M90" i="1"/>
  <c r="H90" i="1"/>
  <c r="P90" i="1"/>
  <c r="K90" i="1"/>
  <c r="L90" i="1"/>
  <c r="I90" i="1"/>
  <c r="M338" i="1"/>
  <c r="H338" i="1"/>
  <c r="K338" i="1"/>
  <c r="K486" i="1"/>
  <c r="H486" i="1"/>
  <c r="N643" i="1"/>
  <c r="J643" i="1"/>
  <c r="M643" i="1"/>
  <c r="H643" i="1"/>
  <c r="P643" i="1"/>
  <c r="K643" i="1"/>
  <c r="L643" i="1"/>
  <c r="N265" i="1"/>
  <c r="J265" i="1"/>
  <c r="H265" i="1"/>
  <c r="M387" i="1"/>
  <c r="H387" i="1"/>
  <c r="P387" i="1"/>
  <c r="J387" i="1"/>
  <c r="I387" i="1"/>
  <c r="L387" i="1"/>
  <c r="L241" i="1"/>
  <c r="J241" i="1"/>
  <c r="N241" i="1"/>
  <c r="P329" i="1"/>
  <c r="M329" i="1"/>
  <c r="I329" i="1"/>
  <c r="N329" i="1"/>
  <c r="H329" i="1"/>
  <c r="J329" i="1"/>
  <c r="K329" i="1"/>
  <c r="L329" i="1"/>
  <c r="K310" i="1"/>
  <c r="J310" i="1"/>
  <c r="H644" i="1"/>
  <c r="K644" i="1"/>
  <c r="M644" i="1"/>
  <c r="K475" i="1"/>
  <c r="P475" i="1"/>
  <c r="L475" i="1"/>
  <c r="J475" i="1"/>
  <c r="M475" i="1"/>
  <c r="M504" i="1"/>
  <c r="H504" i="1"/>
  <c r="K504" i="1"/>
  <c r="L504" i="1"/>
  <c r="K964" i="1"/>
  <c r="N964" i="1"/>
  <c r="I964" i="1"/>
  <c r="L964" i="1"/>
  <c r="M964" i="1"/>
  <c r="P46" i="1"/>
  <c r="M46" i="1"/>
  <c r="I46" i="1"/>
  <c r="J46" i="1"/>
  <c r="L46" i="1"/>
  <c r="N46" i="1"/>
  <c r="K761" i="1"/>
  <c r="P761" i="1"/>
  <c r="L761" i="1"/>
  <c r="M761" i="1"/>
  <c r="H761" i="1"/>
  <c r="I761" i="1"/>
  <c r="J761" i="1"/>
  <c r="N836" i="1"/>
  <c r="J836" i="1"/>
  <c r="M836" i="1"/>
  <c r="H836" i="1"/>
  <c r="I836" i="1"/>
  <c r="P836" i="1"/>
  <c r="K836" i="1"/>
  <c r="K900" i="1"/>
  <c r="M900" i="1"/>
  <c r="H900" i="1"/>
  <c r="N900" i="1"/>
  <c r="I900" i="1"/>
  <c r="P900" i="1"/>
  <c r="J900" i="1"/>
  <c r="P197" i="1"/>
  <c r="L197" i="1"/>
  <c r="K197" i="1"/>
  <c r="H197" i="1"/>
  <c r="M502" i="1"/>
  <c r="K502" i="1"/>
  <c r="I502" i="1"/>
  <c r="P220" i="1"/>
  <c r="J220" i="1"/>
  <c r="L220" i="1"/>
  <c r="N220" i="1"/>
  <c r="H220" i="1"/>
  <c r="K220" i="1"/>
  <c r="N477" i="1"/>
  <c r="J477" i="1"/>
  <c r="P477" i="1"/>
  <c r="L477" i="1"/>
  <c r="M477" i="1"/>
  <c r="H477" i="1"/>
  <c r="I477" i="1"/>
  <c r="K477" i="1"/>
  <c r="P429" i="1"/>
  <c r="M429" i="1"/>
  <c r="I429" i="1"/>
  <c r="L429" i="1"/>
  <c r="N429" i="1"/>
  <c r="H429" i="1"/>
  <c r="J429" i="1"/>
  <c r="K429" i="1"/>
  <c r="N730" i="1"/>
  <c r="H730" i="1"/>
  <c r="L730" i="1"/>
  <c r="K730" i="1"/>
  <c r="J730" i="1"/>
  <c r="P311" i="1"/>
  <c r="M311" i="1"/>
  <c r="I311" i="1"/>
  <c r="L311" i="1"/>
  <c r="N311" i="1"/>
  <c r="H311" i="1"/>
  <c r="J311" i="1"/>
  <c r="K311" i="1"/>
  <c r="M736" i="1"/>
  <c r="H736" i="1"/>
  <c r="K736" i="1"/>
  <c r="K201" i="1"/>
  <c r="P201" i="1"/>
  <c r="L201" i="1"/>
  <c r="M201" i="1"/>
  <c r="H201" i="1"/>
  <c r="I201" i="1"/>
  <c r="J201" i="1"/>
  <c r="N157" i="1"/>
  <c r="H157" i="1"/>
  <c r="J157" i="1"/>
  <c r="M157" i="1"/>
  <c r="K388" i="1"/>
  <c r="P388" i="1"/>
  <c r="L388" i="1"/>
  <c r="M388" i="1"/>
  <c r="H388" i="1"/>
  <c r="J388" i="1"/>
  <c r="N388" i="1"/>
  <c r="I388" i="1"/>
  <c r="P503" i="1"/>
  <c r="N503" i="1"/>
  <c r="H503" i="1"/>
  <c r="L503" i="1"/>
  <c r="J503" i="1"/>
  <c r="K503" i="1"/>
  <c r="K926" i="1"/>
  <c r="P926" i="1"/>
  <c r="L926" i="1"/>
  <c r="J926" i="1"/>
  <c r="M926" i="1"/>
  <c r="H926" i="1"/>
  <c r="I926" i="1"/>
  <c r="N926" i="1"/>
  <c r="K841" i="1"/>
  <c r="N841" i="1"/>
  <c r="P490" i="1"/>
  <c r="H490" i="1"/>
  <c r="K490" i="1"/>
  <c r="L490" i="1"/>
  <c r="P164" i="1"/>
  <c r="N164" i="1"/>
  <c r="H164" i="1"/>
  <c r="L164" i="1"/>
  <c r="K164" i="1"/>
  <c r="J164" i="1"/>
  <c r="M890" i="1"/>
  <c r="N890" i="1"/>
  <c r="J890" i="1"/>
  <c r="I890" i="1"/>
  <c r="M972" i="1"/>
  <c r="L972" i="1"/>
  <c r="P972" i="1"/>
  <c r="I972" i="1"/>
  <c r="K972" i="1"/>
  <c r="N641" i="1"/>
  <c r="J641" i="1"/>
  <c r="M641" i="1"/>
  <c r="H641" i="1"/>
  <c r="L641" i="1"/>
  <c r="P641" i="1"/>
  <c r="I641" i="1"/>
  <c r="L565" i="1"/>
  <c r="N565" i="1"/>
  <c r="H565" i="1"/>
  <c r="L570" i="1"/>
  <c r="N570" i="1"/>
  <c r="H570" i="1"/>
  <c r="L909" i="1"/>
  <c r="J909" i="1"/>
  <c r="P909" i="1"/>
  <c r="I909" i="1"/>
  <c r="N909" i="1"/>
  <c r="L726" i="1"/>
  <c r="J726" i="1"/>
  <c r="P726" i="1"/>
  <c r="I726" i="1"/>
  <c r="P296" i="1"/>
  <c r="M296" i="1"/>
  <c r="I296" i="1"/>
  <c r="L296" i="1"/>
  <c r="K296" i="1"/>
  <c r="N296" i="1"/>
  <c r="J296" i="1"/>
  <c r="H940" i="1"/>
  <c r="I940" i="1"/>
  <c r="K940" i="1"/>
  <c r="K579" i="1"/>
  <c r="N579" i="1"/>
  <c r="I579" i="1"/>
  <c r="L579" i="1"/>
  <c r="M579" i="1"/>
  <c r="H579" i="1"/>
  <c r="J579" i="1"/>
  <c r="P180" i="1"/>
  <c r="M180" i="1"/>
  <c r="J180" i="1"/>
  <c r="H180" i="1"/>
  <c r="I180" i="1"/>
  <c r="N180" i="1"/>
  <c r="N300" i="1"/>
  <c r="J300" i="1"/>
  <c r="P300" i="1"/>
  <c r="L300" i="1"/>
  <c r="H300" i="1"/>
  <c r="I300" i="1"/>
  <c r="K300" i="1"/>
  <c r="N423" i="1"/>
  <c r="J423" i="1"/>
  <c r="K423" i="1"/>
  <c r="K819" i="1"/>
  <c r="P819" i="1"/>
  <c r="L819" i="1"/>
  <c r="J819" i="1"/>
  <c r="N819" i="1"/>
  <c r="M819" i="1"/>
  <c r="H819" i="1"/>
  <c r="I819" i="1"/>
  <c r="M645" i="1"/>
  <c r="H645" i="1"/>
  <c r="L645" i="1"/>
  <c r="P546" i="1"/>
  <c r="M546" i="1"/>
  <c r="H546" i="1"/>
  <c r="L546" i="1"/>
  <c r="P884" i="1"/>
  <c r="L884" i="1"/>
  <c r="N884" i="1"/>
  <c r="H884" i="1"/>
  <c r="J884" i="1"/>
  <c r="P856" i="1"/>
  <c r="L856" i="1"/>
  <c r="H856" i="1"/>
  <c r="K856" i="1"/>
  <c r="P139" i="1"/>
  <c r="K139" i="1"/>
  <c r="L139" i="1"/>
  <c r="H139" i="1"/>
  <c r="L786" i="1"/>
  <c r="N786" i="1"/>
  <c r="K610" i="1"/>
  <c r="P610" i="1"/>
  <c r="L610" i="1"/>
  <c r="J610" i="1"/>
  <c r="M610" i="1"/>
  <c r="I610" i="1"/>
  <c r="N610" i="1"/>
  <c r="H610" i="1"/>
  <c r="J924" i="1"/>
  <c r="N924" i="1"/>
  <c r="I924" i="1"/>
  <c r="M924" i="1"/>
  <c r="H924" i="1"/>
  <c r="L258" i="1"/>
  <c r="H258" i="1"/>
  <c r="M373" i="1"/>
  <c r="H373" i="1"/>
  <c r="L373" i="1"/>
  <c r="K373" i="1"/>
  <c r="I373" i="1"/>
  <c r="P221" i="1"/>
  <c r="M221" i="1"/>
  <c r="I221" i="1"/>
  <c r="N221" i="1"/>
  <c r="H221" i="1"/>
  <c r="K221" i="1"/>
  <c r="L221" i="1"/>
  <c r="J221" i="1"/>
  <c r="K913" i="1"/>
  <c r="H913" i="1"/>
  <c r="L913" i="1"/>
  <c r="I621" i="1"/>
  <c r="L621" i="1"/>
  <c r="K621" i="1"/>
  <c r="M621" i="1"/>
  <c r="P621" i="1"/>
  <c r="H621" i="1"/>
  <c r="H380" i="1"/>
  <c r="J380" i="1"/>
  <c r="K380" i="1"/>
  <c r="N380" i="1"/>
  <c r="N673" i="1"/>
  <c r="J673" i="1"/>
  <c r="K673" i="1"/>
  <c r="P373" i="1"/>
  <c r="K747" i="1"/>
  <c r="N747" i="1"/>
  <c r="I747" i="1"/>
  <c r="L747" i="1"/>
  <c r="M747" i="1"/>
  <c r="H747" i="1"/>
  <c r="J747" i="1"/>
  <c r="P463" i="1"/>
  <c r="N463" i="1"/>
  <c r="H463" i="1"/>
  <c r="K463" i="1"/>
  <c r="J463" i="1"/>
  <c r="L463" i="1"/>
  <c r="L81" i="1"/>
  <c r="K81" i="1"/>
  <c r="J81" i="1"/>
  <c r="N81" i="1"/>
  <c r="H81" i="1"/>
  <c r="I28" i="1"/>
  <c r="M28" i="1"/>
  <c r="I19" i="1"/>
  <c r="M19" i="1"/>
  <c r="I10" i="1"/>
  <c r="M10" i="1"/>
  <c r="L11" i="1"/>
  <c r="I64" i="1"/>
  <c r="P64" i="1"/>
  <c r="J426" i="1"/>
  <c r="P426" i="1"/>
  <c r="L624" i="1"/>
  <c r="L812" i="1"/>
  <c r="J543" i="1"/>
  <c r="P543" i="1"/>
  <c r="L2" i="1"/>
  <c r="P2" i="1"/>
  <c r="I939" i="1"/>
  <c r="M939" i="1"/>
  <c r="I73" i="1"/>
  <c r="M73" i="1"/>
  <c r="L704" i="1"/>
  <c r="P704" i="1"/>
  <c r="H779" i="1"/>
  <c r="P779" i="1"/>
  <c r="I418" i="1"/>
  <c r="I245" i="1"/>
  <c r="M245" i="1"/>
  <c r="L133" i="1"/>
  <c r="P133" i="1"/>
  <c r="L766" i="1"/>
  <c r="P766" i="1"/>
  <c r="K816" i="1"/>
  <c r="L933" i="1"/>
  <c r="L452" i="1"/>
  <c r="K115" i="1"/>
  <c r="P115" i="1"/>
  <c r="P270" i="1"/>
  <c r="M270" i="1"/>
  <c r="I270" i="1"/>
  <c r="P354" i="1"/>
  <c r="M354" i="1"/>
  <c r="I354" i="1"/>
  <c r="M390" i="1"/>
  <c r="H390" i="1"/>
  <c r="N664" i="1"/>
  <c r="L664" i="1"/>
  <c r="H821" i="1"/>
  <c r="H955" i="1"/>
  <c r="P782" i="1"/>
  <c r="M782" i="1"/>
  <c r="I782" i="1"/>
  <c r="H356" i="1"/>
  <c r="P194" i="1"/>
  <c r="L194" i="1"/>
  <c r="P803" i="1"/>
  <c r="M803" i="1"/>
  <c r="I803" i="1"/>
  <c r="P963" i="1"/>
  <c r="M963" i="1"/>
  <c r="I963" i="1"/>
  <c r="J963" i="1"/>
  <c r="P318" i="1"/>
  <c r="K318" i="1"/>
  <c r="I318" i="1"/>
  <c r="N772" i="1"/>
  <c r="H772" i="1"/>
  <c r="K772" i="1"/>
  <c r="P513" i="1"/>
  <c r="M513" i="1"/>
  <c r="I513" i="1"/>
  <c r="N513" i="1"/>
  <c r="H513" i="1"/>
  <c r="I851" i="1"/>
  <c r="P851" i="1"/>
  <c r="K851" i="1"/>
  <c r="H886" i="1"/>
  <c r="I800" i="1"/>
  <c r="P800" i="1"/>
  <c r="K800" i="1"/>
  <c r="P777" i="1"/>
  <c r="M777" i="1"/>
  <c r="I777" i="1"/>
  <c r="J777" i="1"/>
  <c r="L447" i="1"/>
  <c r="H447" i="1"/>
  <c r="L561" i="1"/>
  <c r="K768" i="1"/>
  <c r="M768" i="1"/>
  <c r="H768" i="1"/>
  <c r="M326" i="1"/>
  <c r="H326" i="1"/>
  <c r="L326" i="1"/>
  <c r="N748" i="1"/>
  <c r="I748" i="1"/>
  <c r="L748" i="1"/>
  <c r="N735" i="1"/>
  <c r="K735" i="1"/>
  <c r="K345" i="1"/>
  <c r="K340" i="1"/>
  <c r="M340" i="1"/>
  <c r="H340" i="1"/>
  <c r="H556" i="1"/>
  <c r="P678" i="1"/>
  <c r="L678" i="1"/>
  <c r="M678" i="1"/>
  <c r="N678" i="1"/>
  <c r="H678" i="1"/>
  <c r="N891" i="1"/>
  <c r="P891" i="1"/>
  <c r="L891" i="1"/>
  <c r="M891" i="1"/>
  <c r="H891" i="1"/>
  <c r="J942" i="1"/>
  <c r="L942" i="1"/>
  <c r="N942" i="1"/>
  <c r="N635" i="1"/>
  <c r="M635" i="1"/>
  <c r="H635" i="1"/>
  <c r="P635" i="1"/>
  <c r="K635" i="1"/>
  <c r="L635" i="1"/>
  <c r="N238" i="1"/>
  <c r="I238" i="1"/>
  <c r="L238" i="1"/>
  <c r="M238" i="1"/>
  <c r="K39" i="1"/>
  <c r="P39" i="1"/>
  <c r="L39" i="1"/>
  <c r="M39" i="1"/>
  <c r="H39" i="1"/>
  <c r="K272" i="1"/>
  <c r="M272" i="1"/>
  <c r="H272" i="1"/>
  <c r="N272" i="1"/>
  <c r="I272" i="1"/>
  <c r="N737" i="1"/>
  <c r="J737" i="1"/>
  <c r="P737" i="1"/>
  <c r="L737" i="1"/>
  <c r="M737" i="1"/>
  <c r="H737" i="1"/>
  <c r="M783" i="1"/>
  <c r="P783" i="1"/>
  <c r="J783" i="1"/>
  <c r="I783" i="1"/>
  <c r="L783" i="1"/>
  <c r="H948" i="1"/>
  <c r="K948" i="1"/>
  <c r="M948" i="1"/>
  <c r="H89" i="1"/>
  <c r="L89" i="1"/>
  <c r="P944" i="1"/>
  <c r="J944" i="1"/>
  <c r="K944" i="1"/>
  <c r="L944" i="1"/>
  <c r="P945" i="1"/>
  <c r="H945" i="1"/>
  <c r="K945" i="1"/>
  <c r="P177" i="1"/>
  <c r="L177" i="1"/>
  <c r="H177" i="1"/>
  <c r="K177" i="1"/>
  <c r="N177" i="1"/>
  <c r="P640" i="1"/>
  <c r="L640" i="1"/>
  <c r="H640" i="1"/>
  <c r="K640" i="1"/>
  <c r="N911" i="1"/>
  <c r="J911" i="1"/>
  <c r="P911" i="1"/>
  <c r="L911" i="1"/>
  <c r="K911" i="1"/>
  <c r="M911" i="1"/>
  <c r="H785" i="1"/>
  <c r="K785" i="1"/>
  <c r="I785" i="1"/>
  <c r="L785" i="1"/>
  <c r="P826" i="1"/>
  <c r="M826" i="1"/>
  <c r="I826" i="1"/>
  <c r="J826" i="1"/>
  <c r="L826" i="1"/>
  <c r="N826" i="1"/>
  <c r="M925" i="1"/>
  <c r="H925" i="1"/>
  <c r="P925" i="1"/>
  <c r="I925" i="1"/>
  <c r="K925" i="1"/>
  <c r="L189" i="1"/>
  <c r="M189" i="1"/>
  <c r="H189" i="1"/>
  <c r="P189" i="1"/>
  <c r="I960" i="1"/>
  <c r="P577" i="1"/>
  <c r="K577" i="1"/>
  <c r="H577" i="1"/>
  <c r="L577" i="1"/>
  <c r="P271" i="1"/>
  <c r="L271" i="1"/>
  <c r="H271" i="1"/>
  <c r="J271" i="1"/>
  <c r="K271" i="1"/>
  <c r="P494" i="1"/>
  <c r="L494" i="1"/>
  <c r="N494" i="1"/>
  <c r="K494" i="1"/>
  <c r="I717" i="1"/>
  <c r="M717" i="1"/>
  <c r="P717" i="1"/>
  <c r="H717" i="1"/>
  <c r="K717" i="1"/>
  <c r="M661" i="1"/>
  <c r="I661" i="1"/>
  <c r="P574" i="1"/>
  <c r="M574" i="1"/>
  <c r="I574" i="1"/>
  <c r="J574" i="1"/>
  <c r="N574" i="1"/>
  <c r="H574" i="1"/>
  <c r="K574" i="1"/>
  <c r="P174" i="1"/>
  <c r="L174" i="1"/>
  <c r="H174" i="1"/>
  <c r="K174" i="1"/>
  <c r="P533" i="1"/>
  <c r="K533" i="1"/>
  <c r="H533" i="1"/>
  <c r="L533" i="1"/>
  <c r="P888" i="1"/>
  <c r="N888" i="1"/>
  <c r="H888" i="1"/>
  <c r="K888" i="1"/>
  <c r="L888" i="1"/>
  <c r="J888" i="1"/>
  <c r="L637" i="1"/>
  <c r="M637" i="1"/>
  <c r="H637" i="1"/>
  <c r="K608" i="1"/>
  <c r="H608" i="1"/>
  <c r="K192" i="1"/>
  <c r="L192" i="1"/>
  <c r="H192" i="1"/>
  <c r="N192" i="1"/>
  <c r="N593" i="1"/>
  <c r="H593" i="1"/>
  <c r="P872" i="1"/>
  <c r="M872" i="1"/>
  <c r="I872" i="1"/>
  <c r="N431" i="1"/>
  <c r="L431" i="1"/>
  <c r="N659" i="1"/>
  <c r="P659" i="1"/>
  <c r="L659" i="1"/>
  <c r="N497" i="1"/>
  <c r="L497" i="1"/>
  <c r="N439" i="1"/>
  <c r="P439" i="1"/>
  <c r="L439" i="1"/>
  <c r="J672" i="1"/>
  <c r="K672" i="1"/>
  <c r="N435" i="1"/>
  <c r="L435" i="1"/>
  <c r="H435" i="1"/>
  <c r="M852" i="1"/>
  <c r="I852" i="1"/>
  <c r="N886" i="1"/>
  <c r="I886" i="1"/>
  <c r="L886" i="1"/>
  <c r="H971" i="1"/>
  <c r="L198" i="1"/>
  <c r="N466" i="1"/>
  <c r="H466" i="1"/>
  <c r="N646" i="1"/>
  <c r="K646" i="1"/>
  <c r="N345" i="1"/>
  <c r="J345" i="1"/>
  <c r="M345" i="1"/>
  <c r="H345" i="1"/>
  <c r="L336" i="1"/>
  <c r="K336" i="1"/>
  <c r="L691" i="1"/>
  <c r="P691" i="1"/>
  <c r="I691" i="1"/>
  <c r="L968" i="1"/>
  <c r="J910" i="1"/>
  <c r="H910" i="1"/>
  <c r="L910" i="1"/>
  <c r="L793" i="1"/>
  <c r="H793" i="1"/>
  <c r="J793" i="1"/>
  <c r="N240" i="1"/>
  <c r="L240" i="1"/>
  <c r="K240" i="1"/>
  <c r="M468" i="1"/>
  <c r="H468" i="1"/>
  <c r="P468" i="1"/>
  <c r="K468" i="1"/>
  <c r="L468" i="1"/>
  <c r="P263" i="1"/>
  <c r="M263" i="1"/>
  <c r="I263" i="1"/>
  <c r="N263" i="1"/>
  <c r="H263" i="1"/>
  <c r="J263" i="1"/>
  <c r="N217" i="1"/>
  <c r="J217" i="1"/>
  <c r="K217" i="1"/>
  <c r="M327" i="1"/>
  <c r="L327" i="1"/>
  <c r="P327" i="1"/>
  <c r="I327" i="1"/>
  <c r="K327" i="1"/>
  <c r="N125" i="1"/>
  <c r="J125" i="1"/>
  <c r="M125" i="1"/>
  <c r="H125" i="1"/>
  <c r="I125" i="1"/>
  <c r="K158" i="1"/>
  <c r="P158" i="1"/>
  <c r="L158" i="1"/>
  <c r="M158" i="1"/>
  <c r="H158" i="1"/>
  <c r="M75" i="1"/>
  <c r="P75" i="1"/>
  <c r="J75" i="1"/>
  <c r="L75" i="1"/>
  <c r="N75" i="1"/>
  <c r="H410" i="1"/>
  <c r="L410" i="1"/>
  <c r="P249" i="1"/>
  <c r="L249" i="1"/>
  <c r="H249" i="1"/>
  <c r="K249" i="1"/>
  <c r="N665" i="1"/>
  <c r="J665" i="1"/>
  <c r="I665" i="1"/>
  <c r="P665" i="1"/>
  <c r="K665" i="1"/>
  <c r="L665" i="1"/>
  <c r="N566" i="1"/>
  <c r="J566" i="1"/>
  <c r="M566" i="1"/>
  <c r="H566" i="1"/>
  <c r="P566" i="1"/>
  <c r="K566" i="1"/>
  <c r="L566" i="1"/>
  <c r="N568" i="1"/>
  <c r="P568" i="1"/>
  <c r="L568" i="1"/>
  <c r="M568" i="1"/>
  <c r="K568" i="1"/>
  <c r="P571" i="1"/>
  <c r="M571" i="1"/>
  <c r="I571" i="1"/>
  <c r="L571" i="1"/>
  <c r="N571" i="1"/>
  <c r="H571" i="1"/>
  <c r="H906" i="1"/>
  <c r="N906" i="1"/>
  <c r="K662" i="1"/>
  <c r="P662" i="1"/>
  <c r="L662" i="1"/>
  <c r="M662" i="1"/>
  <c r="N662" i="1"/>
  <c r="H662" i="1"/>
  <c r="M917" i="1"/>
  <c r="I917" i="1"/>
  <c r="K917" i="1"/>
  <c r="H50" i="1"/>
  <c r="L50" i="1"/>
  <c r="M973" i="1"/>
  <c r="I973" i="1"/>
  <c r="K973" i="1"/>
  <c r="N584" i="1"/>
  <c r="K584" i="1"/>
  <c r="J584" i="1"/>
  <c r="N946" i="1"/>
  <c r="J946" i="1"/>
  <c r="N432" i="1"/>
  <c r="H432" i="1"/>
  <c r="P631" i="1"/>
  <c r="K631" i="1"/>
  <c r="P409" i="1"/>
  <c r="M409" i="1"/>
  <c r="I409" i="1"/>
  <c r="N312" i="1"/>
  <c r="I312" i="1"/>
  <c r="N663" i="1"/>
  <c r="H663" i="1"/>
  <c r="N370" i="1"/>
  <c r="J370" i="1"/>
  <c r="P408" i="1"/>
  <c r="L408" i="1"/>
  <c r="P252" i="1"/>
  <c r="M252" i="1"/>
  <c r="I252" i="1"/>
  <c r="K642" i="1"/>
  <c r="P867" i="1"/>
  <c r="M867" i="1"/>
  <c r="I867" i="1"/>
  <c r="N813" i="1"/>
  <c r="I813" i="1"/>
  <c r="N467" i="1"/>
  <c r="M467" i="1"/>
  <c r="H467" i="1"/>
  <c r="H406" i="1"/>
  <c r="H787" i="1"/>
  <c r="N269" i="1"/>
  <c r="J269" i="1"/>
  <c r="N13" i="1"/>
  <c r="I13" i="1"/>
  <c r="K832" i="1"/>
  <c r="N854" i="1"/>
  <c r="I854" i="1"/>
  <c r="P448" i="1"/>
  <c r="M448" i="1"/>
  <c r="I448" i="1"/>
  <c r="M128" i="1"/>
  <c r="P309" i="1"/>
  <c r="M309" i="1"/>
  <c r="I309" i="1"/>
  <c r="K632" i="1"/>
  <c r="K682" i="1"/>
  <c r="L896" i="1"/>
  <c r="K865" i="1"/>
  <c r="I313" i="1"/>
  <c r="L965" i="1"/>
  <c r="I74" i="1"/>
  <c r="I160" i="1"/>
  <c r="N684" i="1"/>
  <c r="J684" i="1"/>
  <c r="L903" i="1"/>
  <c r="P754" i="1"/>
  <c r="K754" i="1"/>
  <c r="P573" i="1"/>
  <c r="P118" i="1"/>
  <c r="L118" i="1"/>
  <c r="L212" i="1"/>
  <c r="N489" i="1"/>
  <c r="J489" i="1"/>
  <c r="P522" i="1"/>
  <c r="N522" i="1"/>
  <c r="H522" i="1"/>
  <c r="P57" i="1"/>
  <c r="P347" i="1"/>
  <c r="L347" i="1"/>
  <c r="K347" i="1"/>
  <c r="P130" i="1"/>
  <c r="L130" i="1"/>
  <c r="N130" i="1"/>
  <c r="L442" i="1"/>
  <c r="H442" i="1"/>
  <c r="K905" i="1"/>
  <c r="P905" i="1"/>
  <c r="L905" i="1"/>
  <c r="H438" i="1"/>
  <c r="M438" i="1"/>
  <c r="L961" i="1"/>
  <c r="H842" i="1"/>
  <c r="J842" i="1"/>
  <c r="H732" i="1"/>
  <c r="M732" i="1"/>
  <c r="J732" i="1"/>
  <c r="K393" i="1"/>
  <c r="N280" i="1"/>
  <c r="I280" i="1"/>
  <c r="M280" i="1"/>
  <c r="K846" i="1"/>
  <c r="P846" i="1"/>
  <c r="L846" i="1"/>
  <c r="K76" i="1"/>
  <c r="N76" i="1"/>
  <c r="I76" i="1"/>
  <c r="K26" i="1"/>
  <c r="M26" i="1"/>
  <c r="H26" i="1"/>
  <c r="P226" i="1"/>
  <c r="M226" i="1"/>
  <c r="I226" i="1"/>
  <c r="N226" i="1"/>
  <c r="H226" i="1"/>
  <c r="K578" i="1"/>
  <c r="N578" i="1"/>
  <c r="I578" i="1"/>
  <c r="K954" i="1"/>
  <c r="P954" i="1"/>
  <c r="L954" i="1"/>
  <c r="L863" i="1"/>
  <c r="H863" i="1"/>
  <c r="N809" i="1"/>
  <c r="J809" i="1"/>
  <c r="I809" i="1"/>
  <c r="P844" i="1"/>
  <c r="M844" i="1"/>
  <c r="I844" i="1"/>
  <c r="N844" i="1"/>
  <c r="H844" i="1"/>
  <c r="M458" i="1"/>
  <c r="N458" i="1"/>
  <c r="I458" i="1"/>
  <c r="M823" i="1"/>
  <c r="K823" i="1"/>
  <c r="I823" i="1"/>
  <c r="N649" i="1"/>
  <c r="K649" i="1"/>
  <c r="J714" i="1"/>
  <c r="N496" i="1"/>
  <c r="J496" i="1"/>
  <c r="P496" i="1"/>
  <c r="L496" i="1"/>
  <c r="P275" i="1"/>
  <c r="N275" i="1"/>
  <c r="H275" i="1"/>
  <c r="J275" i="1"/>
  <c r="N834" i="1"/>
  <c r="J834" i="1"/>
  <c r="P834" i="1"/>
  <c r="L834" i="1"/>
  <c r="P251" i="1"/>
  <c r="M251" i="1"/>
  <c r="I251" i="1"/>
  <c r="L251" i="1"/>
  <c r="H251" i="1"/>
  <c r="P321" i="1"/>
  <c r="H321" i="1"/>
  <c r="K321" i="1"/>
  <c r="L237" i="1"/>
  <c r="H237" i="1"/>
  <c r="N460" i="1"/>
  <c r="J460" i="1"/>
  <c r="I460" i="1"/>
  <c r="M460" i="1"/>
  <c r="N352" i="1"/>
  <c r="J352" i="1"/>
  <c r="M352" i="1"/>
  <c r="H352" i="1"/>
  <c r="L352" i="1"/>
  <c r="M715" i="1"/>
  <c r="J715" i="1"/>
  <c r="P424" i="1"/>
  <c r="M424" i="1"/>
  <c r="I424" i="1"/>
  <c r="J424" i="1"/>
  <c r="K424" i="1"/>
  <c r="L424" i="1"/>
  <c r="L96" i="1"/>
  <c r="H96" i="1"/>
  <c r="M96" i="1"/>
  <c r="I96" i="1"/>
  <c r="K324" i="1"/>
  <c r="M324" i="1"/>
  <c r="H324" i="1"/>
  <c r="P324" i="1"/>
  <c r="J324" i="1"/>
  <c r="L324" i="1"/>
  <c r="K436" i="1"/>
  <c r="N436" i="1"/>
  <c r="I436" i="1"/>
  <c r="L436" i="1"/>
  <c r="M436" i="1"/>
  <c r="H436" i="1"/>
  <c r="J436" i="1"/>
  <c r="P436" i="1"/>
  <c r="L498" i="1"/>
  <c r="J498" i="1"/>
  <c r="L56" i="1"/>
  <c r="K56" i="1"/>
  <c r="J56" i="1"/>
  <c r="N832" i="1"/>
  <c r="I832" i="1"/>
  <c r="J707" i="1"/>
  <c r="I682" i="1"/>
  <c r="P288" i="1"/>
  <c r="L288" i="1"/>
  <c r="K896" i="1"/>
  <c r="M313" i="1"/>
  <c r="N313" i="1"/>
  <c r="N965" i="1"/>
  <c r="J965" i="1"/>
  <c r="K820" i="1"/>
  <c r="H824" i="1"/>
  <c r="M160" i="1"/>
  <c r="P575" i="1"/>
  <c r="J575" i="1"/>
  <c r="K903" i="1"/>
  <c r="P560" i="1"/>
  <c r="M560" i="1"/>
  <c r="I560" i="1"/>
  <c r="N212" i="1"/>
  <c r="J212" i="1"/>
  <c r="P723" i="1"/>
  <c r="N563" i="1"/>
  <c r="P563" i="1"/>
  <c r="L563" i="1"/>
  <c r="H563" i="1"/>
  <c r="M362" i="1"/>
  <c r="H362" i="1"/>
  <c r="P362" i="1"/>
  <c r="J362" i="1"/>
  <c r="N393" i="1"/>
  <c r="J393" i="1"/>
  <c r="I393" i="1"/>
  <c r="H227" i="1"/>
  <c r="I227" i="1"/>
  <c r="J885" i="1"/>
  <c r="H885" i="1"/>
  <c r="P65" i="1"/>
  <c r="K65" i="1"/>
  <c r="L65" i="1"/>
  <c r="L977" i="1"/>
  <c r="H977" i="1"/>
  <c r="N279" i="1"/>
  <c r="I279" i="1"/>
  <c r="P279" i="1"/>
  <c r="J279" i="1"/>
  <c r="M648" i="1"/>
  <c r="N648" i="1"/>
  <c r="J648" i="1"/>
  <c r="K714" i="1"/>
  <c r="M714" i="1"/>
  <c r="H714" i="1"/>
  <c r="M532" i="1"/>
  <c r="H532" i="1"/>
  <c r="P532" i="1"/>
  <c r="K532" i="1"/>
  <c r="I532" i="1"/>
  <c r="N253" i="1"/>
  <c r="J253" i="1"/>
  <c r="K253" i="1"/>
  <c r="P334" i="1"/>
  <c r="L334" i="1"/>
  <c r="N334" i="1"/>
  <c r="H334" i="1"/>
  <c r="I334" i="1"/>
  <c r="P506" i="1"/>
  <c r="K506" i="1"/>
  <c r="L506" i="1"/>
  <c r="M70" i="1"/>
  <c r="I70" i="1"/>
  <c r="K70" i="1"/>
  <c r="P591" i="1"/>
  <c r="J591" i="1"/>
  <c r="I591" i="1"/>
  <c r="M591" i="1"/>
  <c r="P758" i="1"/>
  <c r="J758" i="1"/>
  <c r="M758" i="1"/>
  <c r="I758" i="1"/>
  <c r="P607" i="1"/>
  <c r="M607" i="1"/>
  <c r="I607" i="1"/>
  <c r="L607" i="1"/>
  <c r="N607" i="1"/>
  <c r="P534" i="1"/>
  <c r="N534" i="1"/>
  <c r="H534" i="1"/>
  <c r="L534" i="1"/>
  <c r="L721" i="1"/>
  <c r="K721" i="1"/>
  <c r="H721" i="1"/>
  <c r="K743" i="1"/>
  <c r="M743" i="1"/>
  <c r="H743" i="1"/>
  <c r="N743" i="1"/>
  <c r="L743" i="1"/>
  <c r="P771" i="1"/>
  <c r="N771" i="1"/>
  <c r="H771" i="1"/>
  <c r="J771" i="1"/>
  <c r="K771" i="1"/>
  <c r="P319" i="1"/>
  <c r="N319" i="1"/>
  <c r="H319" i="1"/>
  <c r="L319" i="1"/>
  <c r="J319" i="1"/>
  <c r="P929" i="1"/>
  <c r="M929" i="1"/>
  <c r="I929" i="1"/>
  <c r="L929" i="1"/>
  <c r="N929" i="1"/>
  <c r="K929" i="1"/>
  <c r="M219" i="1"/>
  <c r="H219" i="1"/>
  <c r="L219" i="1"/>
  <c r="K219" i="1"/>
  <c r="P219" i="1"/>
  <c r="K685" i="1"/>
  <c r="N685" i="1"/>
  <c r="I685" i="1"/>
  <c r="P685" i="1"/>
  <c r="J685" i="1"/>
  <c r="L685" i="1"/>
  <c r="H685" i="1"/>
  <c r="M685" i="1"/>
  <c r="H297" i="1"/>
  <c r="K297" i="1"/>
  <c r="I297" i="1"/>
  <c r="M297" i="1"/>
  <c r="M405" i="1"/>
  <c r="L405" i="1"/>
  <c r="K295" i="1"/>
  <c r="P295" i="1"/>
  <c r="I295" i="1"/>
  <c r="L295" i="1"/>
  <c r="K514" i="1"/>
  <c r="M514" i="1"/>
  <c r="H514" i="1"/>
  <c r="P514" i="1"/>
  <c r="J514" i="1"/>
  <c r="L514" i="1"/>
  <c r="I514" i="1"/>
  <c r="I592" i="1"/>
  <c r="H592" i="1"/>
  <c r="J592" i="1"/>
  <c r="N592" i="1"/>
  <c r="N159" i="1"/>
  <c r="J159" i="1"/>
  <c r="P248" i="1"/>
  <c r="L248" i="1"/>
  <c r="N639" i="1"/>
  <c r="J639" i="1"/>
  <c r="N770" i="1"/>
  <c r="I770" i="1"/>
  <c r="M871" i="1"/>
  <c r="H871" i="1"/>
  <c r="H186" i="1"/>
  <c r="I625" i="1"/>
  <c r="N301" i="1"/>
  <c r="J301" i="1"/>
  <c r="N247" i="1"/>
  <c r="J247" i="1"/>
  <c r="K853" i="1"/>
  <c r="K77" i="1"/>
  <c r="P901" i="1"/>
  <c r="L901" i="1"/>
  <c r="P552" i="1"/>
  <c r="M552" i="1"/>
  <c r="I552" i="1"/>
  <c r="M843" i="1"/>
  <c r="N889" i="1"/>
  <c r="J889" i="1"/>
  <c r="M889" i="1"/>
  <c r="H889" i="1"/>
  <c r="P320" i="1"/>
  <c r="L320" i="1"/>
  <c r="N980" i="1"/>
  <c r="J980" i="1"/>
  <c r="I980" i="1"/>
  <c r="P630" i="1"/>
  <c r="M630" i="1"/>
  <c r="I630" i="1"/>
  <c r="N630" i="1"/>
  <c r="H630" i="1"/>
  <c r="L386" i="1"/>
  <c r="H386" i="1"/>
  <c r="P453" i="1"/>
  <c r="M453" i="1"/>
  <c r="I453" i="1"/>
  <c r="L453" i="1"/>
  <c r="L681" i="1"/>
  <c r="M681" i="1"/>
  <c r="P982" i="1"/>
  <c r="J982" i="1"/>
  <c r="L982" i="1"/>
  <c r="K982" i="1"/>
  <c r="M904" i="1"/>
  <c r="H904" i="1"/>
  <c r="N904" i="1"/>
  <c r="L904" i="1"/>
  <c r="P461" i="1"/>
  <c r="K461" i="1"/>
  <c r="I461" i="1"/>
  <c r="H461" i="1"/>
  <c r="K869" i="1"/>
  <c r="N869" i="1"/>
  <c r="I869" i="1"/>
  <c r="P869" i="1"/>
  <c r="J869" i="1"/>
  <c r="M869" i="1"/>
  <c r="P95" i="1"/>
  <c r="M95" i="1"/>
  <c r="I95" i="1"/>
  <c r="N95" i="1"/>
  <c r="H95" i="1"/>
  <c r="K95" i="1"/>
  <c r="J95" i="1"/>
  <c r="K622" i="1"/>
  <c r="M622" i="1"/>
  <c r="H622" i="1"/>
  <c r="L622" i="1"/>
  <c r="P622" i="1"/>
  <c r="I622" i="1"/>
  <c r="L110" i="1"/>
  <c r="H110" i="1"/>
  <c r="M110" i="1"/>
  <c r="M378" i="1"/>
  <c r="N378" i="1"/>
  <c r="P402" i="1"/>
  <c r="M402" i="1"/>
  <c r="N350" i="1"/>
  <c r="J350" i="1"/>
  <c r="P713" i="1"/>
  <c r="M713" i="1"/>
  <c r="I713" i="1"/>
  <c r="P877" i="1"/>
  <c r="N877" i="1"/>
  <c r="H877" i="1"/>
  <c r="N572" i="1"/>
  <c r="J572" i="1"/>
  <c r="K420" i="1"/>
  <c r="N550" i="1"/>
  <c r="J550" i="1"/>
  <c r="P361" i="1"/>
  <c r="J361" i="1"/>
  <c r="P176" i="1"/>
  <c r="N176" i="1"/>
  <c r="H176" i="1"/>
  <c r="K727" i="1"/>
  <c r="P727" i="1"/>
  <c r="L727" i="1"/>
  <c r="P49" i="1"/>
  <c r="J49" i="1"/>
  <c r="N49" i="1"/>
  <c r="L396" i="1"/>
  <c r="K396" i="1"/>
  <c r="N396" i="1"/>
  <c r="M203" i="1"/>
  <c r="K203" i="1"/>
  <c r="M328" i="1"/>
  <c r="I328" i="1"/>
  <c r="J328" i="1"/>
  <c r="P493" i="1"/>
  <c r="H493" i="1"/>
  <c r="L493" i="1"/>
  <c r="P983" i="1"/>
  <c r="L983" i="1"/>
  <c r="M983" i="1"/>
  <c r="H983" i="1"/>
  <c r="K983" i="1"/>
  <c r="J595" i="1"/>
  <c r="L595" i="1"/>
  <c r="H595" i="1"/>
  <c r="K595" i="1"/>
  <c r="N595" i="1"/>
  <c r="P949" i="1"/>
  <c r="J949" i="1"/>
  <c r="L814" i="1"/>
  <c r="P814" i="1"/>
  <c r="H814" i="1"/>
  <c r="N742" i="1"/>
  <c r="J742" i="1"/>
  <c r="P47" i="1"/>
  <c r="L47" i="1"/>
  <c r="P687" i="1"/>
  <c r="N687" i="1"/>
  <c r="H687" i="1"/>
  <c r="P397" i="1"/>
  <c r="M397" i="1"/>
  <c r="N165" i="1"/>
  <c r="J165" i="1"/>
  <c r="I120" i="1"/>
  <c r="P120" i="1"/>
  <c r="K120" i="1"/>
  <c r="M132" i="1"/>
  <c r="H132" i="1"/>
  <c r="I132" i="1"/>
  <c r="K104" i="1"/>
  <c r="H104" i="1"/>
  <c r="L383" i="1"/>
  <c r="I383" i="1"/>
  <c r="N488" i="1"/>
  <c r="H488" i="1"/>
  <c r="L488" i="1"/>
  <c r="J488" i="1"/>
  <c r="K488" i="1"/>
  <c r="P520" i="1"/>
  <c r="N520" i="1"/>
  <c r="H520" i="1"/>
  <c r="P223" i="1"/>
  <c r="L223" i="1"/>
  <c r="H612" i="1"/>
  <c r="N150" i="1"/>
  <c r="K150" i="1"/>
  <c r="J150" i="1"/>
  <c r="L150" i="1"/>
  <c r="N878" i="1"/>
  <c r="L878" i="1"/>
  <c r="N440" i="1"/>
  <c r="H440" i="1"/>
  <c r="P744" i="1"/>
  <c r="M744" i="1"/>
  <c r="I744" i="1"/>
  <c r="N855" i="1"/>
  <c r="H855" i="1"/>
  <c r="I619" i="1"/>
  <c r="P117" i="1"/>
  <c r="M117" i="1"/>
  <c r="P538" i="1"/>
  <c r="K538" i="1"/>
  <c r="J155" i="1"/>
  <c r="P710" i="1"/>
  <c r="H710" i="1"/>
  <c r="L710" i="1"/>
  <c r="L555" i="1"/>
  <c r="J555" i="1"/>
  <c r="N837" i="1"/>
  <c r="H837" i="1"/>
  <c r="K837" i="1"/>
  <c r="L837" i="1"/>
  <c r="L978" i="1"/>
  <c r="K978" i="1"/>
  <c r="L206" i="1"/>
  <c r="K206" i="1"/>
  <c r="N206" i="1"/>
  <c r="N868" i="1"/>
  <c r="J868" i="1"/>
  <c r="I868" i="1"/>
  <c r="L868" i="1"/>
  <c r="M868" i="1"/>
  <c r="M619" i="1"/>
  <c r="L619" i="1"/>
  <c r="N617" i="1"/>
  <c r="M617" i="1"/>
  <c r="N741" i="1"/>
  <c r="L741" i="1"/>
  <c r="L274" i="1"/>
  <c r="M274" i="1"/>
  <c r="M66" i="1"/>
  <c r="I66" i="1"/>
  <c r="K155" i="1"/>
  <c r="N155" i="1"/>
  <c r="I155" i="1"/>
  <c r="P94" i="1"/>
  <c r="H94" i="1"/>
  <c r="I94" i="1"/>
  <c r="M94" i="1"/>
  <c r="P636" i="1"/>
  <c r="M636" i="1"/>
  <c r="I636" i="1"/>
  <c r="J636" i="1"/>
  <c r="K636" i="1"/>
  <c r="L636" i="1"/>
  <c r="M343" i="1"/>
  <c r="H343" i="1"/>
  <c r="P343" i="1"/>
  <c r="I343" i="1"/>
  <c r="K343" i="1"/>
  <c r="K417" i="1"/>
  <c r="J417" i="1"/>
  <c r="L417" i="1"/>
  <c r="M293" i="1"/>
  <c r="J293" i="1"/>
  <c r="H293" i="1"/>
  <c r="L293" i="1"/>
  <c r="K699" i="1"/>
  <c r="J699" i="1"/>
  <c r="L699" i="1"/>
  <c r="J169" i="1"/>
  <c r="L169" i="1"/>
  <c r="J151" i="1"/>
  <c r="L509" i="1"/>
  <c r="I509" i="1"/>
  <c r="P85" i="1"/>
  <c r="M85" i="1"/>
  <c r="I85" i="1"/>
  <c r="N85" i="1"/>
  <c r="H85" i="1"/>
  <c r="M292" i="1"/>
  <c r="H292" i="1"/>
  <c r="N292" i="1"/>
  <c r="P337" i="1"/>
  <c r="M337" i="1"/>
  <c r="I337" i="1"/>
  <c r="L337" i="1"/>
  <c r="M366" i="1"/>
  <c r="I366" i="1"/>
  <c r="P307" i="1"/>
  <c r="L307" i="1"/>
  <c r="K307" i="1"/>
  <c r="L283" i="1"/>
  <c r="N283" i="1"/>
  <c r="J127" i="1"/>
  <c r="M127" i="1"/>
  <c r="I52" i="1"/>
  <c r="P551" i="1"/>
  <c r="M551" i="1"/>
  <c r="I551" i="1"/>
  <c r="N551" i="1"/>
  <c r="H551" i="1"/>
  <c r="K750" i="1"/>
  <c r="P750" i="1"/>
  <c r="L750" i="1"/>
  <c r="N935" i="1"/>
  <c r="I935" i="1"/>
  <c r="H935" i="1"/>
  <c r="J935" i="1"/>
  <c r="N796" i="1"/>
  <c r="I796" i="1"/>
  <c r="P796" i="1"/>
  <c r="J796" i="1"/>
  <c r="H796" i="1"/>
  <c r="L796" i="1"/>
  <c r="K805" i="1"/>
  <c r="H805" i="1"/>
  <c r="K152" i="1"/>
  <c r="N152" i="1"/>
  <c r="I152" i="1"/>
  <c r="M152" i="1"/>
  <c r="P152" i="1"/>
  <c r="H152" i="1"/>
  <c r="J152" i="1"/>
  <c r="M515" i="1"/>
  <c r="K441" i="1"/>
  <c r="M441" i="1"/>
  <c r="H441" i="1"/>
  <c r="L441" i="1"/>
  <c r="P441" i="1"/>
  <c r="I441" i="1"/>
  <c r="J441" i="1"/>
  <c r="N441" i="1"/>
  <c r="L862" i="1"/>
  <c r="K862" i="1"/>
  <c r="N862" i="1"/>
  <c r="J862" i="1"/>
  <c r="H862" i="1"/>
  <c r="P491" i="1"/>
  <c r="M491" i="1"/>
  <c r="I491" i="1"/>
  <c r="N491" i="1"/>
  <c r="H491" i="1"/>
  <c r="K151" i="1"/>
  <c r="N151" i="1"/>
  <c r="I151" i="1"/>
  <c r="N873" i="1"/>
  <c r="J873" i="1"/>
  <c r="P873" i="1"/>
  <c r="L873" i="1"/>
  <c r="K86" i="1"/>
  <c r="H86" i="1"/>
  <c r="L365" i="1"/>
  <c r="J365" i="1"/>
  <c r="M594" i="1"/>
  <c r="L594" i="1"/>
  <c r="L912" i="1"/>
  <c r="P912" i="1"/>
  <c r="I912" i="1"/>
  <c r="M52" i="1"/>
  <c r="H52" i="1"/>
  <c r="L52" i="1"/>
  <c r="P367" i="1"/>
  <c r="M367" i="1"/>
  <c r="I367" i="1"/>
  <c r="N367" i="1"/>
  <c r="H367" i="1"/>
  <c r="P170" i="1"/>
  <c r="L170" i="1"/>
  <c r="M170" i="1"/>
  <c r="J170" i="1"/>
  <c r="N170" i="1"/>
  <c r="P692" i="1"/>
  <c r="M692" i="1"/>
  <c r="I692" i="1"/>
  <c r="N692" i="1"/>
  <c r="H692" i="1"/>
  <c r="L692" i="1"/>
  <c r="L512" i="1"/>
  <c r="I512" i="1"/>
  <c r="M523" i="1"/>
  <c r="H523" i="1"/>
  <c r="P523" i="1"/>
  <c r="J523" i="1"/>
  <c r="I523" i="1"/>
  <c r="L523" i="1"/>
  <c r="K284" i="1"/>
  <c r="N284" i="1"/>
  <c r="I284" i="1"/>
  <c r="L144" i="1"/>
  <c r="K144" i="1"/>
  <c r="H613" i="1"/>
  <c r="I614" i="1"/>
  <c r="H614" i="1"/>
  <c r="N615" i="1"/>
  <c r="J615" i="1"/>
  <c r="M615" i="1"/>
  <c r="H615" i="1"/>
  <c r="P620" i="1"/>
  <c r="M620" i="1"/>
  <c r="I620" i="1"/>
  <c r="N620" i="1"/>
  <c r="H620" i="1"/>
  <c r="M284" i="1"/>
  <c r="J860" i="1"/>
  <c r="K860" i="1"/>
  <c r="J144" i="1"/>
  <c r="K557" i="1"/>
  <c r="N557" i="1"/>
  <c r="I557" i="1"/>
  <c r="M557" i="1"/>
  <c r="P449" i="1"/>
  <c r="K449" i="1"/>
  <c r="H449" i="1"/>
  <c r="M449" i="1"/>
  <c r="I83" i="1"/>
  <c r="K83" i="1"/>
  <c r="M83" i="1"/>
  <c r="P524" i="1"/>
  <c r="M524" i="1"/>
  <c r="I524" i="1"/>
  <c r="L524" i="1"/>
  <c r="K524" i="1"/>
  <c r="J524" i="1"/>
  <c r="N524" i="1"/>
  <c r="K581" i="1"/>
  <c r="P781" i="1"/>
  <c r="M781" i="1"/>
  <c r="I781" i="1"/>
  <c r="L781" i="1"/>
  <c r="H781" i="1"/>
  <c r="L557" i="1"/>
  <c r="L449" i="1"/>
  <c r="J521" i="1"/>
  <c r="I521" i="1"/>
  <c r="J840" i="1"/>
  <c r="I162" i="1"/>
  <c r="M171" i="1"/>
  <c r="H171" i="1"/>
  <c r="K473" i="1"/>
  <c r="N586" i="1"/>
  <c r="J586" i="1"/>
  <c r="P465" i="1"/>
  <c r="L465" i="1"/>
  <c r="N507" i="1"/>
  <c r="J507" i="1"/>
  <c r="K700" i="1"/>
  <c r="N505" i="1"/>
  <c r="J505" i="1"/>
  <c r="N137" i="1"/>
  <c r="I137" i="1"/>
  <c r="L137" i="1"/>
  <c r="K147" i="1"/>
  <c r="P147" i="1"/>
  <c r="L147" i="1"/>
  <c r="P931" i="1"/>
  <c r="M931" i="1"/>
  <c r="I931" i="1"/>
  <c r="L931" i="1"/>
  <c r="N140" i="1"/>
  <c r="K140" i="1"/>
  <c r="N629" i="1"/>
  <c r="J629" i="1"/>
  <c r="P629" i="1"/>
  <c r="L629" i="1"/>
  <c r="M629" i="1"/>
  <c r="K529" i="1"/>
  <c r="L529" i="1"/>
  <c r="N688" i="1"/>
  <c r="J688" i="1"/>
  <c r="P688" i="1"/>
  <c r="L688" i="1"/>
  <c r="M688" i="1"/>
  <c r="H544" i="1"/>
  <c r="M544" i="1"/>
  <c r="K689" i="1"/>
  <c r="P304" i="1"/>
  <c r="L304" i="1"/>
  <c r="N599" i="1"/>
  <c r="J599" i="1"/>
  <c r="I599" i="1"/>
  <c r="J517" i="1"/>
  <c r="N82" i="1"/>
  <c r="H82" i="1"/>
  <c r="N53" i="1"/>
  <c r="J53" i="1"/>
  <c r="P382" i="1"/>
  <c r="I382" i="1"/>
  <c r="L382" i="1"/>
  <c r="P231" i="1"/>
  <c r="L231" i="1"/>
  <c r="K116" i="1"/>
  <c r="P145" i="1"/>
  <c r="M145" i="1"/>
  <c r="I145" i="1"/>
  <c r="J145" i="1"/>
  <c r="P175" i="1"/>
  <c r="M175" i="1"/>
  <c r="I175" i="1"/>
  <c r="L175" i="1"/>
  <c r="P762" i="1"/>
  <c r="M762" i="1"/>
  <c r="I762" i="1"/>
  <c r="L762" i="1"/>
  <c r="L59" i="1"/>
  <c r="L32" i="1"/>
  <c r="K41" i="1"/>
  <c r="N359" i="1"/>
  <c r="J359" i="1"/>
  <c r="K558" i="1"/>
  <c r="K419" i="1"/>
  <c r="K956" i="1"/>
  <c r="P72" i="1"/>
  <c r="M72" i="1"/>
  <c r="I72" i="1"/>
  <c r="J72" i="1"/>
  <c r="N72" i="1"/>
  <c r="H72" i="1"/>
  <c r="L72" i="1"/>
  <c r="N471" i="1"/>
  <c r="J471" i="1"/>
  <c r="P471" i="1"/>
  <c r="L471" i="1"/>
  <c r="H471" i="1"/>
  <c r="M471" i="1"/>
  <c r="K471" i="1"/>
  <c r="I471" i="1"/>
  <c r="J866" i="1"/>
  <c r="N866" i="1"/>
  <c r="J20" i="1"/>
  <c r="N20" i="1"/>
  <c r="J45" i="1"/>
  <c r="N45" i="1"/>
  <c r="J62" i="1"/>
  <c r="N62" i="1"/>
  <c r="J23" i="1"/>
  <c r="N23" i="1"/>
  <c r="I37" i="1"/>
  <c r="M37" i="1"/>
  <c r="P37" i="1"/>
  <c r="I42" i="1"/>
  <c r="M42" i="1"/>
  <c r="P42" i="1"/>
  <c r="J21" i="1"/>
  <c r="N21" i="1"/>
  <c r="J15" i="1"/>
  <c r="N15" i="1"/>
  <c r="I59" i="1"/>
  <c r="M59" i="1"/>
  <c r="P59" i="1"/>
  <c r="I32" i="1"/>
  <c r="M32" i="1"/>
  <c r="P32" i="1"/>
  <c r="I17" i="1"/>
  <c r="M17" i="1"/>
  <c r="P17" i="1"/>
  <c r="I6" i="1"/>
  <c r="M6" i="1"/>
  <c r="P6" i="1"/>
  <c r="I7" i="1"/>
  <c r="M7" i="1"/>
  <c r="P7" i="1"/>
  <c r="I38" i="1"/>
  <c r="M38" i="1"/>
  <c r="P38" i="1"/>
  <c r="J135" i="1"/>
  <c r="N135" i="1"/>
  <c r="I16" i="1"/>
  <c r="M16" i="1"/>
  <c r="P16" i="1"/>
  <c r="J36" i="1"/>
  <c r="N36" i="1"/>
  <c r="J55" i="1"/>
  <c r="N55" i="1"/>
  <c r="I12" i="1"/>
  <c r="M12" i="1"/>
  <c r="P12" i="1"/>
  <c r="J25" i="1"/>
  <c r="N25" i="1"/>
  <c r="J119" i="1"/>
  <c r="N119" i="1"/>
  <c r="J64" i="1"/>
  <c r="N64" i="1"/>
  <c r="I667" i="1"/>
  <c r="M667" i="1"/>
  <c r="P667" i="1"/>
  <c r="J921" i="1"/>
  <c r="N921" i="1"/>
  <c r="N784" i="1"/>
  <c r="J784" i="1"/>
  <c r="K531" i="1"/>
  <c r="L41" i="1"/>
  <c r="P41" i="1"/>
  <c r="K207" i="1"/>
  <c r="P254" i="1"/>
  <c r="M254" i="1"/>
  <c r="I254" i="1"/>
  <c r="L740" i="1"/>
  <c r="L404" i="1"/>
  <c r="L650" i="1"/>
  <c r="L359" i="1"/>
  <c r="P359" i="1"/>
  <c r="L558" i="1"/>
  <c r="P558" i="1"/>
  <c r="L419" i="1"/>
  <c r="L98" i="1"/>
  <c r="P98" i="1"/>
  <c r="L956" i="1"/>
  <c r="P956" i="1"/>
  <c r="L407" i="1"/>
  <c r="P3" i="1"/>
  <c r="M3" i="1"/>
  <c r="I3" i="1"/>
  <c r="P211" i="1"/>
  <c r="M211" i="1"/>
  <c r="I211" i="1"/>
  <c r="N99" i="1"/>
  <c r="J99" i="1"/>
  <c r="P99" i="1"/>
  <c r="M99" i="1"/>
  <c r="I99" i="1"/>
  <c r="K478" i="1"/>
  <c r="N478" i="1"/>
  <c r="J478" i="1"/>
  <c r="K702" i="1"/>
  <c r="K394" i="1"/>
  <c r="N394" i="1"/>
  <c r="J394" i="1"/>
  <c r="K597" i="1"/>
  <c r="N611" i="1"/>
  <c r="J611" i="1"/>
  <c r="I611" i="1"/>
  <c r="M611" i="1"/>
  <c r="H611" i="1"/>
  <c r="P611" i="1"/>
  <c r="L611" i="1"/>
  <c r="N88" i="1"/>
  <c r="J88" i="1"/>
  <c r="I88" i="1"/>
  <c r="M88" i="1"/>
  <c r="H88" i="1"/>
  <c r="P88" i="1"/>
  <c r="L88" i="1"/>
  <c r="N696" i="1"/>
  <c r="J696" i="1"/>
  <c r="I696" i="1"/>
  <c r="M696" i="1"/>
  <c r="H696" i="1"/>
  <c r="P696" i="1"/>
  <c r="L696" i="1"/>
  <c r="K740" i="1"/>
  <c r="N650" i="1"/>
  <c r="J650" i="1"/>
  <c r="K407" i="1"/>
  <c r="P377" i="1"/>
  <c r="M377" i="1"/>
  <c r="I377" i="1"/>
  <c r="J377" i="1"/>
  <c r="N377" i="1"/>
  <c r="H377" i="1"/>
  <c r="L377" i="1"/>
  <c r="K866" i="1"/>
  <c r="I60" i="1"/>
  <c r="M60" i="1"/>
  <c r="K20" i="1"/>
  <c r="K45" i="1"/>
  <c r="I33" i="1"/>
  <c r="M33" i="1"/>
  <c r="K62" i="1"/>
  <c r="K23" i="1"/>
  <c r="I27" i="1"/>
  <c r="M27" i="1"/>
  <c r="J37" i="1"/>
  <c r="N37" i="1"/>
  <c r="J42" i="1"/>
  <c r="N42" i="1"/>
  <c r="K21" i="1"/>
  <c r="I44" i="1"/>
  <c r="M44" i="1"/>
  <c r="K15" i="1"/>
  <c r="I5" i="1"/>
  <c r="M5" i="1"/>
  <c r="J59" i="1"/>
  <c r="N59" i="1"/>
  <c r="J32" i="1"/>
  <c r="N32" i="1"/>
  <c r="J17" i="1"/>
  <c r="N17" i="1"/>
  <c r="J6" i="1"/>
  <c r="N6" i="1"/>
  <c r="I24" i="1"/>
  <c r="M24" i="1"/>
  <c r="J7" i="1"/>
  <c r="N7" i="1"/>
  <c r="I8" i="1"/>
  <c r="M8" i="1"/>
  <c r="J38" i="1"/>
  <c r="N38" i="1"/>
  <c r="I18" i="1"/>
  <c r="M18" i="1"/>
  <c r="K135" i="1"/>
  <c r="I34" i="1"/>
  <c r="M34" i="1"/>
  <c r="J16" i="1"/>
  <c r="N16" i="1"/>
  <c r="K36" i="1"/>
  <c r="I14" i="1"/>
  <c r="M14" i="1"/>
  <c r="K55" i="1"/>
  <c r="J12" i="1"/>
  <c r="N12" i="1"/>
  <c r="I11" i="1"/>
  <c r="M11" i="1"/>
  <c r="I40" i="1"/>
  <c r="M40" i="1"/>
  <c r="I29" i="1"/>
  <c r="M29" i="1"/>
  <c r="K25" i="1"/>
  <c r="K119" i="1"/>
  <c r="K64" i="1"/>
  <c r="J667" i="1"/>
  <c r="N667" i="1"/>
  <c r="K921" i="1"/>
  <c r="I426" i="1"/>
  <c r="L784" i="1"/>
  <c r="P784" i="1"/>
  <c r="L531" i="1"/>
  <c r="P531" i="1"/>
  <c r="H41" i="1"/>
  <c r="M41" i="1"/>
  <c r="I305" i="1"/>
  <c r="L207" i="1"/>
  <c r="P207" i="1"/>
  <c r="L254" i="1"/>
  <c r="K624" i="1"/>
  <c r="N812" i="1"/>
  <c r="J812" i="1"/>
  <c r="H740" i="1"/>
  <c r="M740" i="1"/>
  <c r="H404" i="1"/>
  <c r="H650" i="1"/>
  <c r="M650" i="1"/>
  <c r="K385" i="1"/>
  <c r="P204" i="1"/>
  <c r="M204" i="1"/>
  <c r="I204" i="1"/>
  <c r="N205" i="1"/>
  <c r="J205" i="1"/>
  <c r="I543" i="1"/>
  <c r="H359" i="1"/>
  <c r="M359" i="1"/>
  <c r="I202" i="1"/>
  <c r="H558" i="1"/>
  <c r="M558" i="1"/>
  <c r="H419" i="1"/>
  <c r="I87" i="1"/>
  <c r="H98" i="1"/>
  <c r="H956" i="1"/>
  <c r="M956" i="1"/>
  <c r="H407" i="1"/>
  <c r="L3" i="1"/>
  <c r="L211" i="1"/>
  <c r="I199" i="1"/>
  <c r="K99" i="1"/>
  <c r="I478" i="1"/>
  <c r="P478" i="1"/>
  <c r="K703" i="1"/>
  <c r="N703" i="1"/>
  <c r="J703" i="1"/>
  <c r="I394" i="1"/>
  <c r="P394" i="1"/>
  <c r="N376" i="1"/>
  <c r="J376" i="1"/>
  <c r="P376" i="1"/>
  <c r="M376" i="1"/>
  <c r="I376" i="1"/>
  <c r="K418" i="1"/>
  <c r="N418" i="1"/>
  <c r="J418" i="1"/>
  <c r="K915" i="1"/>
  <c r="N915" i="1"/>
  <c r="J915" i="1"/>
  <c r="P915" i="1"/>
  <c r="M915" i="1"/>
  <c r="I915" i="1"/>
  <c r="K880" i="1"/>
  <c r="N880" i="1"/>
  <c r="J880" i="1"/>
  <c r="P880" i="1"/>
  <c r="M880" i="1"/>
  <c r="I880" i="1"/>
  <c r="P835" i="1"/>
  <c r="M835" i="1"/>
  <c r="I835" i="1"/>
  <c r="J835" i="1"/>
  <c r="N835" i="1"/>
  <c r="H835" i="1"/>
  <c r="L835" i="1"/>
  <c r="P548" i="1"/>
  <c r="M548" i="1"/>
  <c r="I548" i="1"/>
  <c r="J548" i="1"/>
  <c r="N548" i="1"/>
  <c r="H548" i="1"/>
  <c r="L548" i="1"/>
  <c r="H7" i="1"/>
  <c r="L7" i="1"/>
  <c r="H38" i="1"/>
  <c r="L38" i="1"/>
  <c r="L667" i="1"/>
  <c r="P404" i="1"/>
  <c r="M404" i="1"/>
  <c r="I404" i="1"/>
  <c r="K650" i="1"/>
  <c r="K359" i="1"/>
  <c r="P419" i="1"/>
  <c r="M419" i="1"/>
  <c r="I419" i="1"/>
  <c r="K98" i="1"/>
  <c r="J956" i="1"/>
  <c r="P407" i="1"/>
  <c r="M407" i="1"/>
  <c r="I407" i="1"/>
  <c r="N702" i="1"/>
  <c r="J702" i="1"/>
  <c r="P702" i="1"/>
  <c r="M702" i="1"/>
  <c r="I702" i="1"/>
  <c r="N597" i="1"/>
  <c r="J597" i="1"/>
  <c r="P597" i="1"/>
  <c r="M597" i="1"/>
  <c r="I597" i="1"/>
  <c r="K516" i="1"/>
  <c r="N516" i="1"/>
  <c r="J516" i="1"/>
  <c r="P516" i="1"/>
  <c r="M516" i="1"/>
  <c r="I516" i="1"/>
  <c r="K930" i="1"/>
  <c r="N930" i="1"/>
  <c r="J930" i="1"/>
  <c r="P930" i="1"/>
  <c r="M930" i="1"/>
  <c r="I930" i="1"/>
  <c r="K668" i="1"/>
  <c r="N668" i="1"/>
  <c r="J668" i="1"/>
  <c r="P668" i="1"/>
  <c r="M668" i="1"/>
  <c r="I668" i="1"/>
  <c r="K788" i="1"/>
  <c r="N788" i="1"/>
  <c r="J788" i="1"/>
  <c r="P788" i="1"/>
  <c r="M788" i="1"/>
  <c r="I788" i="1"/>
  <c r="P416" i="1"/>
  <c r="M416" i="1"/>
  <c r="I416" i="1"/>
  <c r="J416" i="1"/>
  <c r="N416" i="1"/>
  <c r="H416" i="1"/>
  <c r="L416" i="1"/>
  <c r="K37" i="1"/>
  <c r="K42" i="1"/>
  <c r="K59" i="1"/>
  <c r="K32" i="1"/>
  <c r="K17" i="1"/>
  <c r="K6" i="1"/>
  <c r="K7" i="1"/>
  <c r="K38" i="1"/>
  <c r="K16" i="1"/>
  <c r="K12" i="1"/>
  <c r="K667" i="1"/>
  <c r="K426" i="1"/>
  <c r="H784" i="1"/>
  <c r="M784" i="1"/>
  <c r="H531" i="1"/>
  <c r="M531" i="1"/>
  <c r="I41" i="1"/>
  <c r="N41" i="1"/>
  <c r="K305" i="1"/>
  <c r="H207" i="1"/>
  <c r="M207" i="1"/>
  <c r="H254" i="1"/>
  <c r="N254" i="1"/>
  <c r="I740" i="1"/>
  <c r="N740" i="1"/>
  <c r="J404" i="1"/>
  <c r="I650" i="1"/>
  <c r="K543" i="1"/>
  <c r="I359" i="1"/>
  <c r="N202" i="1"/>
  <c r="J202" i="1"/>
  <c r="I558" i="1"/>
  <c r="N558" i="1"/>
  <c r="J419" i="1"/>
  <c r="N87" i="1"/>
  <c r="J87" i="1"/>
  <c r="I98" i="1"/>
  <c r="N98" i="1"/>
  <c r="I956" i="1"/>
  <c r="N956" i="1"/>
  <c r="J407" i="1"/>
  <c r="H3" i="1"/>
  <c r="N3" i="1"/>
  <c r="H211" i="1"/>
  <c r="N211" i="1"/>
  <c r="N199" i="1"/>
  <c r="J199" i="1"/>
  <c r="L99" i="1"/>
  <c r="L478" i="1"/>
  <c r="K779" i="1"/>
  <c r="N779" i="1"/>
  <c r="J779" i="1"/>
  <c r="L394" i="1"/>
  <c r="N815" i="1"/>
  <c r="J815" i="1"/>
  <c r="P815" i="1"/>
  <c r="M815" i="1"/>
  <c r="I815" i="1"/>
  <c r="L516" i="1"/>
  <c r="L930" i="1"/>
  <c r="L668" i="1"/>
  <c r="L788" i="1"/>
  <c r="K416" i="1"/>
  <c r="K377" i="1"/>
  <c r="N291" i="1"/>
  <c r="J291" i="1"/>
  <c r="I291" i="1"/>
  <c r="M291" i="1"/>
  <c r="H291" i="1"/>
  <c r="P291" i="1"/>
  <c r="L291" i="1"/>
  <c r="K72" i="1"/>
  <c r="N183" i="1"/>
  <c r="J183" i="1"/>
  <c r="K807" i="1"/>
  <c r="N495" i="1"/>
  <c r="J495" i="1"/>
  <c r="K268" i="1"/>
  <c r="P874" i="1"/>
  <c r="M874" i="1"/>
  <c r="I874" i="1"/>
  <c r="K355" i="1"/>
  <c r="P492" i="1"/>
  <c r="M492" i="1"/>
  <c r="I492" i="1"/>
  <c r="P261" i="1"/>
  <c r="M261" i="1"/>
  <c r="I261" i="1"/>
  <c r="N590" i="1"/>
  <c r="J590" i="1"/>
  <c r="P683" i="1"/>
  <c r="M683" i="1"/>
  <c r="I683" i="1"/>
  <c r="J683" i="1"/>
  <c r="L683" i="1"/>
  <c r="K474" i="1"/>
  <c r="N474" i="1"/>
  <c r="I474" i="1"/>
  <c r="M474" i="1"/>
  <c r="L474" i="1"/>
  <c r="P474" i="1"/>
  <c r="J474" i="1"/>
  <c r="P752" i="1"/>
  <c r="M752" i="1"/>
  <c r="I752" i="1"/>
  <c r="N752" i="1"/>
  <c r="H752" i="1"/>
  <c r="L752" i="1"/>
  <c r="K752" i="1"/>
  <c r="N267" i="1"/>
  <c r="J267" i="1"/>
  <c r="M267" i="1"/>
  <c r="H267" i="1"/>
  <c r="L267" i="1"/>
  <c r="P267" i="1"/>
  <c r="K267" i="1"/>
  <c r="K775" i="1"/>
  <c r="N775" i="1"/>
  <c r="I775" i="1"/>
  <c r="M775" i="1"/>
  <c r="L775" i="1"/>
  <c r="P775" i="1"/>
  <c r="J775" i="1"/>
  <c r="K2" i="1"/>
  <c r="K704" i="1"/>
  <c r="K400" i="1"/>
  <c r="K91" i="1"/>
  <c r="K323" i="1"/>
  <c r="K525" i="1"/>
  <c r="K133" i="1"/>
  <c r="K766" i="1"/>
  <c r="I451" i="1"/>
  <c r="M451" i="1"/>
  <c r="P451" i="1"/>
  <c r="L183" i="1"/>
  <c r="P183" i="1"/>
  <c r="J234" i="1"/>
  <c r="P401" i="1"/>
  <c r="M401" i="1"/>
  <c r="I401" i="1"/>
  <c r="L807" i="1"/>
  <c r="P807" i="1"/>
  <c r="K773" i="1"/>
  <c r="I154" i="1"/>
  <c r="J816" i="1"/>
  <c r="I349" i="1"/>
  <c r="L495" i="1"/>
  <c r="P495" i="1"/>
  <c r="K562" i="1"/>
  <c r="K933" i="1"/>
  <c r="N452" i="1"/>
  <c r="J452" i="1"/>
  <c r="I332" i="1"/>
  <c r="L268" i="1"/>
  <c r="P268" i="1"/>
  <c r="L874" i="1"/>
  <c r="I115" i="1"/>
  <c r="I243" i="1"/>
  <c r="N294" i="1"/>
  <c r="J294" i="1"/>
  <c r="J916" i="1"/>
  <c r="L355" i="1"/>
  <c r="P355" i="1"/>
  <c r="L492" i="1"/>
  <c r="L261" i="1"/>
  <c r="P795" i="1"/>
  <c r="M795" i="1"/>
  <c r="I795" i="1"/>
  <c r="L590" i="1"/>
  <c r="P590" i="1"/>
  <c r="K390" i="1"/>
  <c r="P593" i="1"/>
  <c r="M593" i="1"/>
  <c r="I593" i="1"/>
  <c r="K215" i="1"/>
  <c r="K734" i="1"/>
  <c r="P734" i="1"/>
  <c r="M734" i="1"/>
  <c r="I734" i="1"/>
  <c r="K600" i="1"/>
  <c r="P600" i="1"/>
  <c r="M600" i="1"/>
  <c r="I600" i="1"/>
  <c r="K959" i="1"/>
  <c r="P959" i="1"/>
  <c r="M959" i="1"/>
  <c r="I959" i="1"/>
  <c r="K148" i="1"/>
  <c r="P148" i="1"/>
  <c r="M148" i="1"/>
  <c r="I148" i="1"/>
  <c r="K838" i="1"/>
  <c r="P838" i="1"/>
  <c r="M838" i="1"/>
  <c r="I838" i="1"/>
  <c r="K246" i="1"/>
  <c r="P246" i="1"/>
  <c r="M246" i="1"/>
  <c r="I246" i="1"/>
  <c r="K547" i="1"/>
  <c r="P547" i="1"/>
  <c r="M547" i="1"/>
  <c r="I547" i="1"/>
  <c r="K464" i="1"/>
  <c r="P464" i="1"/>
  <c r="M464" i="1"/>
  <c r="I464" i="1"/>
  <c r="K966" i="1"/>
  <c r="P966" i="1"/>
  <c r="M966" i="1"/>
  <c r="I966" i="1"/>
  <c r="K481" i="1"/>
  <c r="P481" i="1"/>
  <c r="M481" i="1"/>
  <c r="I481" i="1"/>
  <c r="K941" i="1"/>
  <c r="P941" i="1"/>
  <c r="M941" i="1"/>
  <c r="I941" i="1"/>
  <c r="H683" i="1"/>
  <c r="N857" i="1"/>
  <c r="J857" i="1"/>
  <c r="I857" i="1"/>
  <c r="M857" i="1"/>
  <c r="H857" i="1"/>
  <c r="P857" i="1"/>
  <c r="L857" i="1"/>
  <c r="N969" i="1"/>
  <c r="J969" i="1"/>
  <c r="I969" i="1"/>
  <c r="M969" i="1"/>
  <c r="H969" i="1"/>
  <c r="P969" i="1"/>
  <c r="L969" i="1"/>
  <c r="J451" i="1"/>
  <c r="H183" i="1"/>
  <c r="M183" i="1"/>
  <c r="P234" i="1"/>
  <c r="M234" i="1"/>
  <c r="I234" i="1"/>
  <c r="H807" i="1"/>
  <c r="M807" i="1"/>
  <c r="K154" i="1"/>
  <c r="P816" i="1"/>
  <c r="M816" i="1"/>
  <c r="I816" i="1"/>
  <c r="K349" i="1"/>
  <c r="H495" i="1"/>
  <c r="M495" i="1"/>
  <c r="K332" i="1"/>
  <c r="H268" i="1"/>
  <c r="M268" i="1"/>
  <c r="H874" i="1"/>
  <c r="N874" i="1"/>
  <c r="N115" i="1"/>
  <c r="J115" i="1"/>
  <c r="N243" i="1"/>
  <c r="J243" i="1"/>
  <c r="P916" i="1"/>
  <c r="M916" i="1"/>
  <c r="I916" i="1"/>
  <c r="H355" i="1"/>
  <c r="M355" i="1"/>
  <c r="H492" i="1"/>
  <c r="N492" i="1"/>
  <c r="H261" i="1"/>
  <c r="N261" i="1"/>
  <c r="H590" i="1"/>
  <c r="M590" i="1"/>
  <c r="P553" i="1"/>
  <c r="M553" i="1"/>
  <c r="I553" i="1"/>
  <c r="K553" i="1"/>
  <c r="P196" i="1"/>
  <c r="M196" i="1"/>
  <c r="I196" i="1"/>
  <c r="K196" i="1"/>
  <c r="P431" i="1"/>
  <c r="M431" i="1"/>
  <c r="I431" i="1"/>
  <c r="K431" i="1"/>
  <c r="P664" i="1"/>
  <c r="M664" i="1"/>
  <c r="I664" i="1"/>
  <c r="K664" i="1"/>
  <c r="P497" i="1"/>
  <c r="M497" i="1"/>
  <c r="I497" i="1"/>
  <c r="K497" i="1"/>
  <c r="J464" i="1"/>
  <c r="P821" i="1"/>
  <c r="M821" i="1"/>
  <c r="I821" i="1"/>
  <c r="K821" i="1"/>
  <c r="J966" i="1"/>
  <c r="P955" i="1"/>
  <c r="M955" i="1"/>
  <c r="I955" i="1"/>
  <c r="K955" i="1"/>
  <c r="J481" i="1"/>
  <c r="J941" i="1"/>
  <c r="N858" i="1"/>
  <c r="J858" i="1"/>
  <c r="P858" i="1"/>
  <c r="L858" i="1"/>
  <c r="I858" i="1"/>
  <c r="K683" i="1"/>
  <c r="P123" i="1"/>
  <c r="M123" i="1"/>
  <c r="I123" i="1"/>
  <c r="J123" i="1"/>
  <c r="N123" i="1"/>
  <c r="H123" i="1"/>
  <c r="L123" i="1"/>
  <c r="N899" i="1"/>
  <c r="J899" i="1"/>
  <c r="I899" i="1"/>
  <c r="M899" i="1"/>
  <c r="L899" i="1"/>
  <c r="P899" i="1"/>
  <c r="K899" i="1"/>
  <c r="N351" i="1"/>
  <c r="J351" i="1"/>
  <c r="P351" i="1"/>
  <c r="L351" i="1"/>
  <c r="I351" i="1"/>
  <c r="N335" i="1"/>
  <c r="J335" i="1"/>
  <c r="P335" i="1"/>
  <c r="L335" i="1"/>
  <c r="I335" i="1"/>
  <c r="N953" i="1"/>
  <c r="J953" i="1"/>
  <c r="I953" i="1"/>
  <c r="M953" i="1"/>
  <c r="H953" i="1"/>
  <c r="P953" i="1"/>
  <c r="L953" i="1"/>
  <c r="K767" i="1"/>
  <c r="P767" i="1"/>
  <c r="M767" i="1"/>
  <c r="I767" i="1"/>
  <c r="N767" i="1"/>
  <c r="L767" i="1"/>
  <c r="J767" i="1"/>
  <c r="K763" i="1"/>
  <c r="I764" i="1"/>
  <c r="J943" i="1"/>
  <c r="N666" i="1"/>
  <c r="J666" i="1"/>
  <c r="I356" i="1"/>
  <c r="K195" i="1"/>
  <c r="K893" i="1"/>
  <c r="J264" i="1"/>
  <c r="N371" i="1"/>
  <c r="J371" i="1"/>
  <c r="I946" i="1"/>
  <c r="N318" i="1"/>
  <c r="J318" i="1"/>
  <c r="N109" i="1"/>
  <c r="J109" i="1"/>
  <c r="I114" i="1"/>
  <c r="N631" i="1"/>
  <c r="J631" i="1"/>
  <c r="P672" i="1"/>
  <c r="M672" i="1"/>
  <c r="I672" i="1"/>
  <c r="L672" i="1"/>
  <c r="N883" i="1"/>
  <c r="J883" i="1"/>
  <c r="I883" i="1"/>
  <c r="P789" i="1"/>
  <c r="M789" i="1"/>
  <c r="I789" i="1"/>
  <c r="J789" i="1"/>
  <c r="N971" i="1"/>
  <c r="J971" i="1"/>
  <c r="P971" i="1"/>
  <c r="L971" i="1"/>
  <c r="H351" i="1"/>
  <c r="H335" i="1"/>
  <c r="K828" i="1"/>
  <c r="N828" i="1"/>
  <c r="I828" i="1"/>
  <c r="M828" i="1"/>
  <c r="H828" i="1"/>
  <c r="P828" i="1"/>
  <c r="L828" i="1"/>
  <c r="K369" i="1"/>
  <c r="P369" i="1"/>
  <c r="M369" i="1"/>
  <c r="I369" i="1"/>
  <c r="N369" i="1"/>
  <c r="L369" i="1"/>
  <c r="J369" i="1"/>
  <c r="N861" i="1"/>
  <c r="J861" i="1"/>
  <c r="M861" i="1"/>
  <c r="H861" i="1"/>
  <c r="P861" i="1"/>
  <c r="L861" i="1"/>
  <c r="I861" i="1"/>
  <c r="K861" i="1"/>
  <c r="N764" i="1"/>
  <c r="J764" i="1"/>
  <c r="P943" i="1"/>
  <c r="M943" i="1"/>
  <c r="I943" i="1"/>
  <c r="N356" i="1"/>
  <c r="J356" i="1"/>
  <c r="P264" i="1"/>
  <c r="M264" i="1"/>
  <c r="I264" i="1"/>
  <c r="K946" i="1"/>
  <c r="K114" i="1"/>
  <c r="P435" i="1"/>
  <c r="M435" i="1"/>
  <c r="I435" i="1"/>
  <c r="J435" i="1"/>
  <c r="K134" i="1"/>
  <c r="N134" i="1"/>
  <c r="I134" i="1"/>
  <c r="P134" i="1"/>
  <c r="L134" i="1"/>
  <c r="K952" i="1"/>
  <c r="N952" i="1"/>
  <c r="I952" i="1"/>
  <c r="P952" i="1"/>
  <c r="L952" i="1"/>
  <c r="K351" i="1"/>
  <c r="P646" i="1"/>
  <c r="M646" i="1"/>
  <c r="I646" i="1"/>
  <c r="J646" i="1"/>
  <c r="L646" i="1"/>
  <c r="P753" i="1"/>
  <c r="M753" i="1"/>
  <c r="I753" i="1"/>
  <c r="J753" i="1"/>
  <c r="L753" i="1"/>
  <c r="K411" i="1"/>
  <c r="N411" i="1"/>
  <c r="I411" i="1"/>
  <c r="P411" i="1"/>
  <c r="L411" i="1"/>
  <c r="P735" i="1"/>
  <c r="M735" i="1"/>
  <c r="I735" i="1"/>
  <c r="J735" i="1"/>
  <c r="L735" i="1"/>
  <c r="K335" i="1"/>
  <c r="N173" i="1"/>
  <c r="J173" i="1"/>
  <c r="I173" i="1"/>
  <c r="M173" i="1"/>
  <c r="H173" i="1"/>
  <c r="P173" i="1"/>
  <c r="L173" i="1"/>
  <c r="N656" i="1"/>
  <c r="J656" i="1"/>
  <c r="I656" i="1"/>
  <c r="M656" i="1"/>
  <c r="H656" i="1"/>
  <c r="P656" i="1"/>
  <c r="L656" i="1"/>
  <c r="K482" i="1"/>
  <c r="P482" i="1"/>
  <c r="M482" i="1"/>
  <c r="I482" i="1"/>
  <c r="N482" i="1"/>
  <c r="L482" i="1"/>
  <c r="J482" i="1"/>
  <c r="P244" i="1"/>
  <c r="M244" i="1"/>
  <c r="I244" i="1"/>
  <c r="N244" i="1"/>
  <c r="J244" i="1"/>
  <c r="L244" i="1"/>
  <c r="K244" i="1"/>
  <c r="H244" i="1"/>
  <c r="J262" i="1"/>
  <c r="J790" i="1"/>
  <c r="J168" i="1"/>
  <c r="J746" i="1"/>
  <c r="J358" i="1"/>
  <c r="J653" i="1"/>
  <c r="J659" i="1"/>
  <c r="J545" i="1"/>
  <c r="J341" i="1"/>
  <c r="J839" i="1"/>
  <c r="J182" i="1"/>
  <c r="J587" i="1"/>
  <c r="J187" i="1"/>
  <c r="J439" i="1"/>
  <c r="H763" i="1"/>
  <c r="M763" i="1"/>
  <c r="L764" i="1"/>
  <c r="P764" i="1"/>
  <c r="L943" i="1"/>
  <c r="N315" i="1"/>
  <c r="J315" i="1"/>
  <c r="H666" i="1"/>
  <c r="M666" i="1"/>
  <c r="L356" i="1"/>
  <c r="P356" i="1"/>
  <c r="K194" i="1"/>
  <c r="H195" i="1"/>
  <c r="M195" i="1"/>
  <c r="H893" i="1"/>
  <c r="M893" i="1"/>
  <c r="L264" i="1"/>
  <c r="H371" i="1"/>
  <c r="M371" i="1"/>
  <c r="L946" i="1"/>
  <c r="P946" i="1"/>
  <c r="P731" i="1"/>
  <c r="M731" i="1"/>
  <c r="I731" i="1"/>
  <c r="P432" i="1"/>
  <c r="M432" i="1"/>
  <c r="I432" i="1"/>
  <c r="H318" i="1"/>
  <c r="M318" i="1"/>
  <c r="H109" i="1"/>
  <c r="M109" i="1"/>
  <c r="L114" i="1"/>
  <c r="P114" i="1"/>
  <c r="H631" i="1"/>
  <c r="M631" i="1"/>
  <c r="P772" i="1"/>
  <c r="M772" i="1"/>
  <c r="I772" i="1"/>
  <c r="N672" i="1"/>
  <c r="N278" i="1"/>
  <c r="J278" i="1"/>
  <c r="M278" i="1"/>
  <c r="H278" i="1"/>
  <c r="K435" i="1"/>
  <c r="K654" i="1"/>
  <c r="M654" i="1"/>
  <c r="H654" i="1"/>
  <c r="L883" i="1"/>
  <c r="N302" i="1"/>
  <c r="J302" i="1"/>
  <c r="M302" i="1"/>
  <c r="H302" i="1"/>
  <c r="K852" i="1"/>
  <c r="P852" i="1"/>
  <c r="L852" i="1"/>
  <c r="N799" i="1"/>
  <c r="J799" i="1"/>
  <c r="I799" i="1"/>
  <c r="K776" i="1"/>
  <c r="N776" i="1"/>
  <c r="I776" i="1"/>
  <c r="L789" i="1"/>
  <c r="M971" i="1"/>
  <c r="H134" i="1"/>
  <c r="H952" i="1"/>
  <c r="M351" i="1"/>
  <c r="P466" i="1"/>
  <c r="M466" i="1"/>
  <c r="I466" i="1"/>
  <c r="L466" i="1"/>
  <c r="J466" i="1"/>
  <c r="H646" i="1"/>
  <c r="N486" i="1"/>
  <c r="J486" i="1"/>
  <c r="I486" i="1"/>
  <c r="P486" i="1"/>
  <c r="L486" i="1"/>
  <c r="H753" i="1"/>
  <c r="N644" i="1"/>
  <c r="J644" i="1"/>
  <c r="I644" i="1"/>
  <c r="P644" i="1"/>
  <c r="L644" i="1"/>
  <c r="H411" i="1"/>
  <c r="H735" i="1"/>
  <c r="M335" i="1"/>
  <c r="N58" i="1"/>
  <c r="J58" i="1"/>
  <c r="I58" i="1"/>
  <c r="P58" i="1"/>
  <c r="L58" i="1"/>
  <c r="K403" i="1"/>
  <c r="P403" i="1"/>
  <c r="L403" i="1"/>
  <c r="N403" i="1"/>
  <c r="I403" i="1"/>
  <c r="P434" i="1"/>
  <c r="M434" i="1"/>
  <c r="I434" i="1"/>
  <c r="L434" i="1"/>
  <c r="J434" i="1"/>
  <c r="K953" i="1"/>
  <c r="K676" i="1"/>
  <c r="N676" i="1"/>
  <c r="I676" i="1"/>
  <c r="M676" i="1"/>
  <c r="H676" i="1"/>
  <c r="P676" i="1"/>
  <c r="L676" i="1"/>
  <c r="K845" i="1"/>
  <c r="P845" i="1"/>
  <c r="M845" i="1"/>
  <c r="I845" i="1"/>
  <c r="N845" i="1"/>
  <c r="L845" i="1"/>
  <c r="J845" i="1"/>
  <c r="H767" i="1"/>
  <c r="K218" i="1"/>
  <c r="P218" i="1"/>
  <c r="M218" i="1"/>
  <c r="I218" i="1"/>
  <c r="N218" i="1"/>
  <c r="L218" i="1"/>
  <c r="J218" i="1"/>
  <c r="K658" i="1"/>
  <c r="P658" i="1"/>
  <c r="M658" i="1"/>
  <c r="I658" i="1"/>
  <c r="N658" i="1"/>
  <c r="L658" i="1"/>
  <c r="J658" i="1"/>
  <c r="K69" i="1"/>
  <c r="P69" i="1"/>
  <c r="M69" i="1"/>
  <c r="I69" i="1"/>
  <c r="N69" i="1"/>
  <c r="L69" i="1"/>
  <c r="J69" i="1"/>
  <c r="N918" i="1"/>
  <c r="J918" i="1"/>
  <c r="P310" i="1"/>
  <c r="M310" i="1"/>
  <c r="I310" i="1"/>
  <c r="N415" i="1"/>
  <c r="J415" i="1"/>
  <c r="K652" i="1"/>
  <c r="N561" i="1"/>
  <c r="J561" i="1"/>
  <c r="P198" i="1"/>
  <c r="M198" i="1"/>
  <c r="I198" i="1"/>
  <c r="P908" i="1"/>
  <c r="M908" i="1"/>
  <c r="I908" i="1"/>
  <c r="N336" i="1"/>
  <c r="J336" i="1"/>
  <c r="I265" i="1"/>
  <c r="P958" i="1"/>
  <c r="M958" i="1"/>
  <c r="I958" i="1"/>
  <c r="N450" i="1"/>
  <c r="J450" i="1"/>
  <c r="I556" i="1"/>
  <c r="K691" i="1"/>
  <c r="P372" i="1"/>
  <c r="M372" i="1"/>
  <c r="I372" i="1"/>
  <c r="N968" i="1"/>
  <c r="J968" i="1"/>
  <c r="K314" i="1"/>
  <c r="I679" i="1"/>
  <c r="P657" i="1"/>
  <c r="M657" i="1"/>
  <c r="I657" i="1"/>
  <c r="N657" i="1"/>
  <c r="H657" i="1"/>
  <c r="L657" i="1"/>
  <c r="J657" i="1"/>
  <c r="N919" i="1"/>
  <c r="J919" i="1"/>
  <c r="P919" i="1"/>
  <c r="M919" i="1"/>
  <c r="I919" i="1"/>
  <c r="K919" i="1"/>
  <c r="H919" i="1"/>
  <c r="L919" i="1"/>
  <c r="K564" i="1"/>
  <c r="P564" i="1"/>
  <c r="M564" i="1"/>
  <c r="I564" i="1"/>
  <c r="L564" i="1"/>
  <c r="J564" i="1"/>
  <c r="N564" i="1"/>
  <c r="H564" i="1"/>
  <c r="N500" i="1"/>
  <c r="J500" i="1"/>
  <c r="P500" i="1"/>
  <c r="L500" i="1"/>
  <c r="I500" i="1"/>
  <c r="K500" i="1"/>
  <c r="H500" i="1"/>
  <c r="M500" i="1"/>
  <c r="N833" i="1"/>
  <c r="J833" i="1"/>
  <c r="I833" i="1"/>
  <c r="M833" i="1"/>
  <c r="P833" i="1"/>
  <c r="K833" i="1"/>
  <c r="L833" i="1"/>
  <c r="H833" i="1"/>
  <c r="K265" i="1"/>
  <c r="N556" i="1"/>
  <c r="J556" i="1"/>
  <c r="N679" i="1"/>
  <c r="J679" i="1"/>
  <c r="N830" i="1"/>
  <c r="J830" i="1"/>
  <c r="M830" i="1"/>
  <c r="H830" i="1"/>
  <c r="P830" i="1"/>
  <c r="L830" i="1"/>
  <c r="I830" i="1"/>
  <c r="N724" i="1"/>
  <c r="J724" i="1"/>
  <c r="P724" i="1"/>
  <c r="M724" i="1"/>
  <c r="I724" i="1"/>
  <c r="K724" i="1"/>
  <c r="H724" i="1"/>
  <c r="L724" i="1"/>
  <c r="K802" i="1"/>
  <c r="N756" i="1"/>
  <c r="J756" i="1"/>
  <c r="K124" i="1"/>
  <c r="N851" i="1"/>
  <c r="J851" i="1"/>
  <c r="P306" i="1"/>
  <c r="M306" i="1"/>
  <c r="I306" i="1"/>
  <c r="K886" i="1"/>
  <c r="N800" i="1"/>
  <c r="J800" i="1"/>
  <c r="K822" i="1"/>
  <c r="P794" i="1"/>
  <c r="M794" i="1"/>
  <c r="I794" i="1"/>
  <c r="P447" i="1"/>
  <c r="M447" i="1"/>
  <c r="I447" i="1"/>
  <c r="H918" i="1"/>
  <c r="M918" i="1"/>
  <c r="H310" i="1"/>
  <c r="N310" i="1"/>
  <c r="K312" i="1"/>
  <c r="H415" i="1"/>
  <c r="M415" i="1"/>
  <c r="H652" i="1"/>
  <c r="M652" i="1"/>
  <c r="H561" i="1"/>
  <c r="M561" i="1"/>
  <c r="K326" i="1"/>
  <c r="H198" i="1"/>
  <c r="N198" i="1"/>
  <c r="K748" i="1"/>
  <c r="P663" i="1"/>
  <c r="M663" i="1"/>
  <c r="I663" i="1"/>
  <c r="K346" i="1"/>
  <c r="H908" i="1"/>
  <c r="N908" i="1"/>
  <c r="H336" i="1"/>
  <c r="M336" i="1"/>
  <c r="L265" i="1"/>
  <c r="P265" i="1"/>
  <c r="K408" i="1"/>
  <c r="H958" i="1"/>
  <c r="N958" i="1"/>
  <c r="H450" i="1"/>
  <c r="M450" i="1"/>
  <c r="L556" i="1"/>
  <c r="P556" i="1"/>
  <c r="H691" i="1"/>
  <c r="M691" i="1"/>
  <c r="H372" i="1"/>
  <c r="N372" i="1"/>
  <c r="H968" i="1"/>
  <c r="M968" i="1"/>
  <c r="K387" i="1"/>
  <c r="N504" i="1"/>
  <c r="J504" i="1"/>
  <c r="P282" i="1"/>
  <c r="M282" i="1"/>
  <c r="I282" i="1"/>
  <c r="H314" i="1"/>
  <c r="M314" i="1"/>
  <c r="P791" i="1"/>
  <c r="M791" i="1"/>
  <c r="I791" i="1"/>
  <c r="K678" i="1"/>
  <c r="L679" i="1"/>
  <c r="P679" i="1"/>
  <c r="P910" i="1"/>
  <c r="M910" i="1"/>
  <c r="I910" i="1"/>
  <c r="K910" i="1"/>
  <c r="P793" i="1"/>
  <c r="M793" i="1"/>
  <c r="I793" i="1"/>
  <c r="K793" i="1"/>
  <c r="P406" i="1"/>
  <c r="M406" i="1"/>
  <c r="I406" i="1"/>
  <c r="K406" i="1"/>
  <c r="P825" i="1"/>
  <c r="M825" i="1"/>
  <c r="I825" i="1"/>
  <c r="K825" i="1"/>
  <c r="P942" i="1"/>
  <c r="M942" i="1"/>
  <c r="I942" i="1"/>
  <c r="K942" i="1"/>
  <c r="P787" i="1"/>
  <c r="M787" i="1"/>
  <c r="I787" i="1"/>
  <c r="K787" i="1"/>
  <c r="P970" i="1"/>
  <c r="M970" i="1"/>
  <c r="I970" i="1"/>
  <c r="K970" i="1"/>
  <c r="P250" i="1"/>
  <c r="M250" i="1"/>
  <c r="I250" i="1"/>
  <c r="K250" i="1"/>
  <c r="P260" i="1"/>
  <c r="M260" i="1"/>
  <c r="I260" i="1"/>
  <c r="K260" i="1"/>
  <c r="P241" i="1"/>
  <c r="M241" i="1"/>
  <c r="I241" i="1"/>
  <c r="K241" i="1"/>
  <c r="P760" i="1"/>
  <c r="M760" i="1"/>
  <c r="I760" i="1"/>
  <c r="K760" i="1"/>
  <c r="P287" i="1"/>
  <c r="M287" i="1"/>
  <c r="I287" i="1"/>
  <c r="N287" i="1"/>
  <c r="H287" i="1"/>
  <c r="L287" i="1"/>
  <c r="J287" i="1"/>
  <c r="P979" i="1"/>
  <c r="M979" i="1"/>
  <c r="I979" i="1"/>
  <c r="N979" i="1"/>
  <c r="H979" i="1"/>
  <c r="L979" i="1"/>
  <c r="J979" i="1"/>
  <c r="P101" i="1"/>
  <c r="M101" i="1"/>
  <c r="I101" i="1"/>
  <c r="N101" i="1"/>
  <c r="H101" i="1"/>
  <c r="L101" i="1"/>
  <c r="J101" i="1"/>
  <c r="N728" i="1"/>
  <c r="J728" i="1"/>
  <c r="P728" i="1"/>
  <c r="M728" i="1"/>
  <c r="I728" i="1"/>
  <c r="K728" i="1"/>
  <c r="H728" i="1"/>
  <c r="L728" i="1"/>
  <c r="N459" i="1"/>
  <c r="J459" i="1"/>
  <c r="P459" i="1"/>
  <c r="M459" i="1"/>
  <c r="I459" i="1"/>
  <c r="K459" i="1"/>
  <c r="H459" i="1"/>
  <c r="L459" i="1"/>
  <c r="J813" i="1"/>
  <c r="J149" i="1"/>
  <c r="J467" i="1"/>
  <c r="J891" i="1"/>
  <c r="J93" i="1"/>
  <c r="J635" i="1"/>
  <c r="J90" i="1"/>
  <c r="J974" i="1"/>
  <c r="J238" i="1"/>
  <c r="J13" i="1"/>
  <c r="J832" i="1"/>
  <c r="J854" i="1"/>
  <c r="H240" i="1"/>
  <c r="H128" i="1"/>
  <c r="L317" i="1"/>
  <c r="P317" i="1"/>
  <c r="N468" i="1"/>
  <c r="J468" i="1"/>
  <c r="P707" i="1"/>
  <c r="M707" i="1"/>
  <c r="I707" i="1"/>
  <c r="H783" i="1"/>
  <c r="L745" i="1"/>
  <c r="P632" i="1"/>
  <c r="M632" i="1"/>
  <c r="I632" i="1"/>
  <c r="N682" i="1"/>
  <c r="J682" i="1"/>
  <c r="H217" i="1"/>
  <c r="N288" i="1"/>
  <c r="J288" i="1"/>
  <c r="H313" i="1"/>
  <c r="P392" i="1"/>
  <c r="M392" i="1"/>
  <c r="I392" i="1"/>
  <c r="L736" i="1"/>
  <c r="P736" i="1"/>
  <c r="L286" i="1"/>
  <c r="P286" i="1"/>
  <c r="L695" i="1"/>
  <c r="P695" i="1"/>
  <c r="H327" i="1"/>
  <c r="L338" i="1"/>
  <c r="P338" i="1"/>
  <c r="L820" i="1"/>
  <c r="L824" i="1"/>
  <c r="P824" i="1"/>
  <c r="N74" i="1"/>
  <c r="J74" i="1"/>
  <c r="H446" i="1"/>
  <c r="H972" i="1"/>
  <c r="H160" i="1"/>
  <c r="L84" i="1"/>
  <c r="P84" i="1"/>
  <c r="L437" i="1"/>
  <c r="L157" i="1"/>
  <c r="P157" i="1"/>
  <c r="H585" i="1"/>
  <c r="L948" i="1"/>
  <c r="P948" i="1"/>
  <c r="H75" i="1"/>
  <c r="I645" i="1"/>
  <c r="P645" i="1"/>
  <c r="I546" i="1"/>
  <c r="N472" i="1"/>
  <c r="J472" i="1"/>
  <c r="P472" i="1"/>
  <c r="M472" i="1"/>
  <c r="I472" i="1"/>
  <c r="K472" i="1"/>
  <c r="K444" i="1"/>
  <c r="P444" i="1"/>
  <c r="M444" i="1"/>
  <c r="I444" i="1"/>
  <c r="L444" i="1"/>
  <c r="J444" i="1"/>
  <c r="N444" i="1"/>
  <c r="K103" i="1"/>
  <c r="P103" i="1"/>
  <c r="M103" i="1"/>
  <c r="I103" i="1"/>
  <c r="L103" i="1"/>
  <c r="J103" i="1"/>
  <c r="N103" i="1"/>
  <c r="N257" i="1"/>
  <c r="J257" i="1"/>
  <c r="P257" i="1"/>
  <c r="L257" i="1"/>
  <c r="I257" i="1"/>
  <c r="K257" i="1"/>
  <c r="H257" i="1"/>
  <c r="M257" i="1"/>
  <c r="K887" i="1"/>
  <c r="N887" i="1"/>
  <c r="I887" i="1"/>
  <c r="P887" i="1"/>
  <c r="J887" i="1"/>
  <c r="M887" i="1"/>
  <c r="L887" i="1"/>
  <c r="H887" i="1"/>
  <c r="P240" i="1"/>
  <c r="M240" i="1"/>
  <c r="I240" i="1"/>
  <c r="N128" i="1"/>
  <c r="J128" i="1"/>
  <c r="I317" i="1"/>
  <c r="K783" i="1"/>
  <c r="J745" i="1"/>
  <c r="P217" i="1"/>
  <c r="M217" i="1"/>
  <c r="I217" i="1"/>
  <c r="K313" i="1"/>
  <c r="I736" i="1"/>
  <c r="I286" i="1"/>
  <c r="I695" i="1"/>
  <c r="N327" i="1"/>
  <c r="J327" i="1"/>
  <c r="I338" i="1"/>
  <c r="J820" i="1"/>
  <c r="I824" i="1"/>
  <c r="P446" i="1"/>
  <c r="M446" i="1"/>
  <c r="I446" i="1"/>
  <c r="N972" i="1"/>
  <c r="J972" i="1"/>
  <c r="N160" i="1"/>
  <c r="J160" i="1"/>
  <c r="I84" i="1"/>
  <c r="J437" i="1"/>
  <c r="I157" i="1"/>
  <c r="K585" i="1"/>
  <c r="I948" i="1"/>
  <c r="K75" i="1"/>
  <c r="N410" i="1"/>
  <c r="J410" i="1"/>
  <c r="P410" i="1"/>
  <c r="M410" i="1"/>
  <c r="I410" i="1"/>
  <c r="K410" i="1"/>
  <c r="N71" i="1"/>
  <c r="J71" i="1"/>
  <c r="P71" i="1"/>
  <c r="M71" i="1"/>
  <c r="I71" i="1"/>
  <c r="K71" i="1"/>
  <c r="N290" i="1"/>
  <c r="J290" i="1"/>
  <c r="P290" i="1"/>
  <c r="M290" i="1"/>
  <c r="I290" i="1"/>
  <c r="K290" i="1"/>
  <c r="K317" i="1"/>
  <c r="P745" i="1"/>
  <c r="M745" i="1"/>
  <c r="I745" i="1"/>
  <c r="N736" i="1"/>
  <c r="J736" i="1"/>
  <c r="N286" i="1"/>
  <c r="J286" i="1"/>
  <c r="N695" i="1"/>
  <c r="J695" i="1"/>
  <c r="N338" i="1"/>
  <c r="J338" i="1"/>
  <c r="P820" i="1"/>
  <c r="M820" i="1"/>
  <c r="I820" i="1"/>
  <c r="N824" i="1"/>
  <c r="J824" i="1"/>
  <c r="K84" i="1"/>
  <c r="P437" i="1"/>
  <c r="M437" i="1"/>
  <c r="I437" i="1"/>
  <c r="K157" i="1"/>
  <c r="N948" i="1"/>
  <c r="J948" i="1"/>
  <c r="N645" i="1"/>
  <c r="J645" i="1"/>
  <c r="K645" i="1"/>
  <c r="N546" i="1"/>
  <c r="J546" i="1"/>
  <c r="K546" i="1"/>
  <c r="N864" i="1"/>
  <c r="J864" i="1"/>
  <c r="P864" i="1"/>
  <c r="M864" i="1"/>
  <c r="I864" i="1"/>
  <c r="K864" i="1"/>
  <c r="N89" i="1"/>
  <c r="J89" i="1"/>
  <c r="P89" i="1"/>
  <c r="M89" i="1"/>
  <c r="I89" i="1"/>
  <c r="K89" i="1"/>
  <c r="N757" i="1"/>
  <c r="J757" i="1"/>
  <c r="P757" i="1"/>
  <c r="M757" i="1"/>
  <c r="I757" i="1"/>
  <c r="K757" i="1"/>
  <c r="N711" i="1"/>
  <c r="J711" i="1"/>
  <c r="P711" i="1"/>
  <c r="M711" i="1"/>
  <c r="I711" i="1"/>
  <c r="K711" i="1"/>
  <c r="N638" i="1"/>
  <c r="J638" i="1"/>
  <c r="P638" i="1"/>
  <c r="M638" i="1"/>
  <c r="I638" i="1"/>
  <c r="K638" i="1"/>
  <c r="K228" i="1"/>
  <c r="P228" i="1"/>
  <c r="M228" i="1"/>
  <c r="I228" i="1"/>
  <c r="L228" i="1"/>
  <c r="J228" i="1"/>
  <c r="N228" i="1"/>
  <c r="N698" i="1"/>
  <c r="J698" i="1"/>
  <c r="P698" i="1"/>
  <c r="L698" i="1"/>
  <c r="I698" i="1"/>
  <c r="K698" i="1"/>
  <c r="H698" i="1"/>
  <c r="M698" i="1"/>
  <c r="K273" i="1"/>
  <c r="P273" i="1"/>
  <c r="L273" i="1"/>
  <c r="N273" i="1"/>
  <c r="H273" i="1"/>
  <c r="J273" i="1"/>
  <c r="M273" i="1"/>
  <c r="I273" i="1"/>
  <c r="I575" i="1"/>
  <c r="M575" i="1"/>
  <c r="J754" i="1"/>
  <c r="N754" i="1"/>
  <c r="I827" i="1"/>
  <c r="M827" i="1"/>
  <c r="J573" i="1"/>
  <c r="N573" i="1"/>
  <c r="I884" i="1"/>
  <c r="M884" i="1"/>
  <c r="I220" i="1"/>
  <c r="M220" i="1"/>
  <c r="I118" i="1"/>
  <c r="M118" i="1"/>
  <c r="I389" i="1"/>
  <c r="M389" i="1"/>
  <c r="J723" i="1"/>
  <c r="N723" i="1"/>
  <c r="J856" i="1"/>
  <c r="N856" i="1"/>
  <c r="I522" i="1"/>
  <c r="M522" i="1"/>
  <c r="I503" i="1"/>
  <c r="M503" i="1"/>
  <c r="I944" i="1"/>
  <c r="M944" i="1"/>
  <c r="J897" i="1"/>
  <c r="N897" i="1"/>
  <c r="J945" i="1"/>
  <c r="N945" i="1"/>
  <c r="J57" i="1"/>
  <c r="N57" i="1"/>
  <c r="J139" i="1"/>
  <c r="N139" i="1"/>
  <c r="I811" i="1"/>
  <c r="M811" i="1"/>
  <c r="J347" i="1"/>
  <c r="N347" i="1"/>
  <c r="J184" i="1"/>
  <c r="N184" i="1"/>
  <c r="J298" i="1"/>
  <c r="N298" i="1"/>
  <c r="I177" i="1"/>
  <c r="M177" i="1"/>
  <c r="I248" i="1"/>
  <c r="M248" i="1"/>
  <c r="J249" i="1"/>
  <c r="N249" i="1"/>
  <c r="I130" i="1"/>
  <c r="M130" i="1"/>
  <c r="J640" i="1"/>
  <c r="N640" i="1"/>
  <c r="K842" i="1"/>
  <c r="P842" i="1"/>
  <c r="L842" i="1"/>
  <c r="N842" i="1"/>
  <c r="I842" i="1"/>
  <c r="N798" i="1"/>
  <c r="J798" i="1"/>
  <c r="P798" i="1"/>
  <c r="L798" i="1"/>
  <c r="I798" i="1"/>
  <c r="P565" i="1"/>
  <c r="M565" i="1"/>
  <c r="I565" i="1"/>
  <c r="K565" i="1"/>
  <c r="P567" i="1"/>
  <c r="M567" i="1"/>
  <c r="I567" i="1"/>
  <c r="K567" i="1"/>
  <c r="P570" i="1"/>
  <c r="M570" i="1"/>
  <c r="I570" i="1"/>
  <c r="K570" i="1"/>
  <c r="P870" i="1"/>
  <c r="M870" i="1"/>
  <c r="I870" i="1"/>
  <c r="K870" i="1"/>
  <c r="P786" i="1"/>
  <c r="M786" i="1"/>
  <c r="I786" i="1"/>
  <c r="K786" i="1"/>
  <c r="P442" i="1"/>
  <c r="M442" i="1"/>
  <c r="I442" i="1"/>
  <c r="K442" i="1"/>
  <c r="K462" i="1"/>
  <c r="P462" i="1"/>
  <c r="L462" i="1"/>
  <c r="N462" i="1"/>
  <c r="I462" i="1"/>
  <c r="K759" i="1"/>
  <c r="N759" i="1"/>
  <c r="I759" i="1"/>
  <c r="P759" i="1"/>
  <c r="L759" i="1"/>
  <c r="P841" i="1"/>
  <c r="M841" i="1"/>
  <c r="I841" i="1"/>
  <c r="J841" i="1"/>
  <c r="L841" i="1"/>
  <c r="N580" i="1"/>
  <c r="J580" i="1"/>
  <c r="P580" i="1"/>
  <c r="M580" i="1"/>
  <c r="I580" i="1"/>
  <c r="K580" i="1"/>
  <c r="H580" i="1"/>
  <c r="L580" i="1"/>
  <c r="I754" i="1"/>
  <c r="M754" i="1"/>
  <c r="I573" i="1"/>
  <c r="M573" i="1"/>
  <c r="I723" i="1"/>
  <c r="M723" i="1"/>
  <c r="I856" i="1"/>
  <c r="M856" i="1"/>
  <c r="I897" i="1"/>
  <c r="M897" i="1"/>
  <c r="I945" i="1"/>
  <c r="M945" i="1"/>
  <c r="I57" i="1"/>
  <c r="M57" i="1"/>
  <c r="I139" i="1"/>
  <c r="M139" i="1"/>
  <c r="I347" i="1"/>
  <c r="M347" i="1"/>
  <c r="I184" i="1"/>
  <c r="M184" i="1"/>
  <c r="I298" i="1"/>
  <c r="M298" i="1"/>
  <c r="I249" i="1"/>
  <c r="M249" i="1"/>
  <c r="I640" i="1"/>
  <c r="M640" i="1"/>
  <c r="J565" i="1"/>
  <c r="J567" i="1"/>
  <c r="J570" i="1"/>
  <c r="J870" i="1"/>
  <c r="J786" i="1"/>
  <c r="J442" i="1"/>
  <c r="H462" i="1"/>
  <c r="N438" i="1"/>
  <c r="J438" i="1"/>
  <c r="P438" i="1"/>
  <c r="L438" i="1"/>
  <c r="I438" i="1"/>
  <c r="P628" i="1"/>
  <c r="M628" i="1"/>
  <c r="I628" i="1"/>
  <c r="J628" i="1"/>
  <c r="L628" i="1"/>
  <c r="K208" i="1"/>
  <c r="N208" i="1"/>
  <c r="I208" i="1"/>
  <c r="P208" i="1"/>
  <c r="L208" i="1"/>
  <c r="P906" i="1"/>
  <c r="M906" i="1"/>
  <c r="I906" i="1"/>
  <c r="L906" i="1"/>
  <c r="J906" i="1"/>
  <c r="H759" i="1"/>
  <c r="H841" i="1"/>
  <c r="K732" i="1"/>
  <c r="P732" i="1"/>
  <c r="L732" i="1"/>
  <c r="N732" i="1"/>
  <c r="I732" i="1"/>
  <c r="N412" i="1"/>
  <c r="J412" i="1"/>
  <c r="P412" i="1"/>
  <c r="M412" i="1"/>
  <c r="I412" i="1"/>
  <c r="K412" i="1"/>
  <c r="H412" i="1"/>
  <c r="L412" i="1"/>
  <c r="K105" i="1"/>
  <c r="N627" i="1"/>
  <c r="J627" i="1"/>
  <c r="K909" i="1"/>
  <c r="P501" i="1"/>
  <c r="M501" i="1"/>
  <c r="I501" i="1"/>
  <c r="N961" i="1"/>
  <c r="J961" i="1"/>
  <c r="N785" i="1"/>
  <c r="J785" i="1"/>
  <c r="K726" i="1"/>
  <c r="K808" i="1"/>
  <c r="N925" i="1"/>
  <c r="J925" i="1"/>
  <c r="P738" i="1"/>
  <c r="M738" i="1"/>
  <c r="I738" i="1"/>
  <c r="J738" i="1"/>
  <c r="N738" i="1"/>
  <c r="K738" i="1"/>
  <c r="K898" i="1"/>
  <c r="M898" i="1"/>
  <c r="H898" i="1"/>
  <c r="N898" i="1"/>
  <c r="P898" i="1"/>
  <c r="J898" i="1"/>
  <c r="J563" i="1"/>
  <c r="J568" i="1"/>
  <c r="J322" i="1"/>
  <c r="K770" i="1"/>
  <c r="P818" i="1"/>
  <c r="M818" i="1"/>
  <c r="I818" i="1"/>
  <c r="K922" i="1"/>
  <c r="H909" i="1"/>
  <c r="M909" i="1"/>
  <c r="H501" i="1"/>
  <c r="N501" i="1"/>
  <c r="H961" i="1"/>
  <c r="M961" i="1"/>
  <c r="M785" i="1"/>
  <c r="H726" i="1"/>
  <c r="M726" i="1"/>
  <c r="P934" i="1"/>
  <c r="M934" i="1"/>
  <c r="I934" i="1"/>
  <c r="H808" i="1"/>
  <c r="M808" i="1"/>
  <c r="K362" i="1"/>
  <c r="P774" i="1"/>
  <c r="M774" i="1"/>
  <c r="I774" i="1"/>
  <c r="N774" i="1"/>
  <c r="H774" i="1"/>
  <c r="P214" i="1"/>
  <c r="M214" i="1"/>
  <c r="I214" i="1"/>
  <c r="J214" i="1"/>
  <c r="N923" i="1"/>
  <c r="J923" i="1"/>
  <c r="M923" i="1"/>
  <c r="H923" i="1"/>
  <c r="N975" i="1"/>
  <c r="J975" i="1"/>
  <c r="I975" i="1"/>
  <c r="M975" i="1"/>
  <c r="H975" i="1"/>
  <c r="P975" i="1"/>
  <c r="L975" i="1"/>
  <c r="N227" i="1"/>
  <c r="J227" i="1"/>
  <c r="P227" i="1"/>
  <c r="L227" i="1"/>
  <c r="N749" i="1"/>
  <c r="J749" i="1"/>
  <c r="P749" i="1"/>
  <c r="L749" i="1"/>
  <c r="L774" i="1"/>
  <c r="N739" i="1"/>
  <c r="J739" i="1"/>
  <c r="M739" i="1"/>
  <c r="H739" i="1"/>
  <c r="N186" i="1"/>
  <c r="J186" i="1"/>
  <c r="P186" i="1"/>
  <c r="L186" i="1"/>
  <c r="N189" i="1"/>
  <c r="J189" i="1"/>
  <c r="I189" i="1"/>
  <c r="P885" i="1"/>
  <c r="M885" i="1"/>
  <c r="I885" i="1"/>
  <c r="L885" i="1"/>
  <c r="N885" i="1"/>
  <c r="K885" i="1"/>
  <c r="K499" i="1"/>
  <c r="M499" i="1"/>
  <c r="H499" i="1"/>
  <c r="P499" i="1"/>
  <c r="L499" i="1"/>
  <c r="N499" i="1"/>
  <c r="I499" i="1"/>
  <c r="J499" i="1"/>
  <c r="N539" i="1"/>
  <c r="J539" i="1"/>
  <c r="I539" i="1"/>
  <c r="M539" i="1"/>
  <c r="H539" i="1"/>
  <c r="P539" i="1"/>
  <c r="L539" i="1"/>
  <c r="N960" i="1"/>
  <c r="J960" i="1"/>
  <c r="M960" i="1"/>
  <c r="H960" i="1"/>
  <c r="P960" i="1"/>
  <c r="L960" i="1"/>
  <c r="N399" i="1"/>
  <c r="J399" i="1"/>
  <c r="M399" i="1"/>
  <c r="H399" i="1"/>
  <c r="P399" i="1"/>
  <c r="L399" i="1"/>
  <c r="N303" i="1"/>
  <c r="J303" i="1"/>
  <c r="K303" i="1"/>
  <c r="L303" i="1"/>
  <c r="P303" i="1"/>
  <c r="I303" i="1"/>
  <c r="N224" i="1"/>
  <c r="J224" i="1"/>
  <c r="K224" i="1"/>
  <c r="L224" i="1"/>
  <c r="P224" i="1"/>
  <c r="I224" i="1"/>
  <c r="N626" i="1"/>
  <c r="J626" i="1"/>
  <c r="P626" i="1"/>
  <c r="M626" i="1"/>
  <c r="I626" i="1"/>
  <c r="K626" i="1"/>
  <c r="H626" i="1"/>
  <c r="P801" i="1"/>
  <c r="M801" i="1"/>
  <c r="I801" i="1"/>
  <c r="J801" i="1"/>
  <c r="K960" i="1"/>
  <c r="K399" i="1"/>
  <c r="N239" i="1"/>
  <c r="J239" i="1"/>
  <c r="K239" i="1"/>
  <c r="L239" i="1"/>
  <c r="P239" i="1"/>
  <c r="I239" i="1"/>
  <c r="H303" i="1"/>
  <c r="H224" i="1"/>
  <c r="N456" i="1"/>
  <c r="J456" i="1"/>
  <c r="P456" i="1"/>
  <c r="M456" i="1"/>
  <c r="I456" i="1"/>
  <c r="K456" i="1"/>
  <c r="H456" i="1"/>
  <c r="N792" i="1"/>
  <c r="J792" i="1"/>
  <c r="M792" i="1"/>
  <c r="H792" i="1"/>
  <c r="P792" i="1"/>
  <c r="L792" i="1"/>
  <c r="I792" i="1"/>
  <c r="N718" i="1"/>
  <c r="J718" i="1"/>
  <c r="M718" i="1"/>
  <c r="H718" i="1"/>
  <c r="P718" i="1"/>
  <c r="L718" i="1"/>
  <c r="I718" i="1"/>
  <c r="K485" i="1"/>
  <c r="M485" i="1"/>
  <c r="H485" i="1"/>
  <c r="P485" i="1"/>
  <c r="L485" i="1"/>
  <c r="N485" i="1"/>
  <c r="I485" i="1"/>
  <c r="N427" i="1"/>
  <c r="J427" i="1"/>
  <c r="P427" i="1"/>
  <c r="M427" i="1"/>
  <c r="I427" i="1"/>
  <c r="K427" i="1"/>
  <c r="H427" i="1"/>
  <c r="L427" i="1"/>
  <c r="P947" i="1"/>
  <c r="M947" i="1"/>
  <c r="I947" i="1"/>
  <c r="N947" i="1"/>
  <c r="H947" i="1"/>
  <c r="L947" i="1"/>
  <c r="J947" i="1"/>
  <c r="K947" i="1"/>
  <c r="P725" i="1"/>
  <c r="M725" i="1"/>
  <c r="I725" i="1"/>
  <c r="N725" i="1"/>
  <c r="H725" i="1"/>
  <c r="L725" i="1"/>
  <c r="J725" i="1"/>
  <c r="K725" i="1"/>
  <c r="K924" i="1"/>
  <c r="N940" i="1"/>
  <c r="J940" i="1"/>
  <c r="P380" i="1"/>
  <c r="M380" i="1"/>
  <c r="I380" i="1"/>
  <c r="N106" i="1"/>
  <c r="J106" i="1"/>
  <c r="P106" i="1"/>
  <c r="M106" i="1"/>
  <c r="I106" i="1"/>
  <c r="K106" i="1"/>
  <c r="N977" i="1"/>
  <c r="J977" i="1"/>
  <c r="P977" i="1"/>
  <c r="M977" i="1"/>
  <c r="I977" i="1"/>
  <c r="K977" i="1"/>
  <c r="N79" i="1"/>
  <c r="J79" i="1"/>
  <c r="P79" i="1"/>
  <c r="M79" i="1"/>
  <c r="I79" i="1"/>
  <c r="K79" i="1"/>
  <c r="N384" i="1"/>
  <c r="J384" i="1"/>
  <c r="M384" i="1"/>
  <c r="H384" i="1"/>
  <c r="P384" i="1"/>
  <c r="L384" i="1"/>
  <c r="I384" i="1"/>
  <c r="K167" i="1"/>
  <c r="M167" i="1"/>
  <c r="H167" i="1"/>
  <c r="P167" i="1"/>
  <c r="L167" i="1"/>
  <c r="N167" i="1"/>
  <c r="I167" i="1"/>
  <c r="N457" i="1"/>
  <c r="J457" i="1"/>
  <c r="P457" i="1"/>
  <c r="M457" i="1"/>
  <c r="I457" i="1"/>
  <c r="K457" i="1"/>
  <c r="H457" i="1"/>
  <c r="L457" i="1"/>
  <c r="N277" i="1"/>
  <c r="J277" i="1"/>
  <c r="P277" i="1"/>
  <c r="M277" i="1"/>
  <c r="I277" i="1"/>
  <c r="K277" i="1"/>
  <c r="H277" i="1"/>
  <c r="L277" i="1"/>
  <c r="K280" i="1"/>
  <c r="P730" i="1"/>
  <c r="M730" i="1"/>
  <c r="I730" i="1"/>
  <c r="N871" i="1"/>
  <c r="J871" i="1"/>
  <c r="N625" i="1"/>
  <c r="J625" i="1"/>
  <c r="L924" i="1"/>
  <c r="P924" i="1"/>
  <c r="L940" i="1"/>
  <c r="P940" i="1"/>
  <c r="L380" i="1"/>
  <c r="P258" i="1"/>
  <c r="M258" i="1"/>
  <c r="I258" i="1"/>
  <c r="N258" i="1"/>
  <c r="J258" i="1"/>
  <c r="P276" i="1"/>
  <c r="M276" i="1"/>
  <c r="I276" i="1"/>
  <c r="N276" i="1"/>
  <c r="J276" i="1"/>
  <c r="N863" i="1"/>
  <c r="J863" i="1"/>
  <c r="P863" i="1"/>
  <c r="M863" i="1"/>
  <c r="I863" i="1"/>
  <c r="K863" i="1"/>
  <c r="K363" i="1"/>
  <c r="M363" i="1"/>
  <c r="H363" i="1"/>
  <c r="P363" i="1"/>
  <c r="L363" i="1"/>
  <c r="N363" i="1"/>
  <c r="I363" i="1"/>
  <c r="P229" i="1"/>
  <c r="M229" i="1"/>
  <c r="I229" i="1"/>
  <c r="N229" i="1"/>
  <c r="H229" i="1"/>
  <c r="L229" i="1"/>
  <c r="J229" i="1"/>
  <c r="N470" i="1"/>
  <c r="J470" i="1"/>
  <c r="M470" i="1"/>
  <c r="H470" i="1"/>
  <c r="P470" i="1"/>
  <c r="L470" i="1"/>
  <c r="I470" i="1"/>
  <c r="P364" i="1"/>
  <c r="M364" i="1"/>
  <c r="I364" i="1"/>
  <c r="N364" i="1"/>
  <c r="H364" i="1"/>
  <c r="L364" i="1"/>
  <c r="J364" i="1"/>
  <c r="I266" i="1"/>
  <c r="M266" i="1"/>
  <c r="J197" i="1"/>
  <c r="N197" i="1"/>
  <c r="J577" i="1"/>
  <c r="N577" i="1"/>
  <c r="I722" i="1"/>
  <c r="M722" i="1"/>
  <c r="J65" i="1"/>
  <c r="N65" i="1"/>
  <c r="I271" i="1"/>
  <c r="M271" i="1"/>
  <c r="J901" i="1"/>
  <c r="N901" i="1"/>
  <c r="I494" i="1"/>
  <c r="M494" i="1"/>
  <c r="J490" i="1"/>
  <c r="N490" i="1"/>
  <c r="I164" i="1"/>
  <c r="M164" i="1"/>
  <c r="J78" i="1"/>
  <c r="N78" i="1"/>
  <c r="L161" i="1"/>
  <c r="K279" i="1"/>
  <c r="H502" i="1"/>
  <c r="N717" i="1"/>
  <c r="J717" i="1"/>
  <c r="L180" i="1"/>
  <c r="H843" i="1"/>
  <c r="H458" i="1"/>
  <c r="H673" i="1"/>
  <c r="H823" i="1"/>
  <c r="H648" i="1"/>
  <c r="H649" i="1"/>
  <c r="N373" i="1"/>
  <c r="J373" i="1"/>
  <c r="H894" i="1"/>
  <c r="K479" i="1"/>
  <c r="P719" i="1"/>
  <c r="M719" i="1"/>
  <c r="I719" i="1"/>
  <c r="L275" i="1"/>
  <c r="H917" i="1"/>
  <c r="N950" i="1"/>
  <c r="J950" i="1"/>
  <c r="H623" i="1"/>
  <c r="H661" i="1"/>
  <c r="H379" i="1"/>
  <c r="H576" i="1"/>
  <c r="N111" i="1"/>
  <c r="J111" i="1"/>
  <c r="N532" i="1"/>
  <c r="J532" i="1"/>
  <c r="K480" i="1"/>
  <c r="H253" i="1"/>
  <c r="H890" i="1"/>
  <c r="H378" i="1"/>
  <c r="L402" i="1"/>
  <c r="K334" i="1"/>
  <c r="N810" i="1"/>
  <c r="J810" i="1"/>
  <c r="M810" i="1"/>
  <c r="H810" i="1"/>
  <c r="P810" i="1"/>
  <c r="L810" i="1"/>
  <c r="I810" i="1"/>
  <c r="P879" i="1"/>
  <c r="M879" i="1"/>
  <c r="I879" i="1"/>
  <c r="N879" i="1"/>
  <c r="H879" i="1"/>
  <c r="L879" i="1"/>
  <c r="J879" i="1"/>
  <c r="N172" i="1"/>
  <c r="J172" i="1"/>
  <c r="P172" i="1"/>
  <c r="M172" i="1"/>
  <c r="I172" i="1"/>
  <c r="K172" i="1"/>
  <c r="H172" i="1"/>
  <c r="L172" i="1"/>
  <c r="N502" i="1"/>
  <c r="J502" i="1"/>
  <c r="N843" i="1"/>
  <c r="J843" i="1"/>
  <c r="K458" i="1"/>
  <c r="P673" i="1"/>
  <c r="M673" i="1"/>
  <c r="I673" i="1"/>
  <c r="N823" i="1"/>
  <c r="J823" i="1"/>
  <c r="K648" i="1"/>
  <c r="P649" i="1"/>
  <c r="M649" i="1"/>
  <c r="I649" i="1"/>
  <c r="K894" i="1"/>
  <c r="N917" i="1"/>
  <c r="J917" i="1"/>
  <c r="P623" i="1"/>
  <c r="M623" i="1"/>
  <c r="I623" i="1"/>
  <c r="N661" i="1"/>
  <c r="J661" i="1"/>
  <c r="K379" i="1"/>
  <c r="N576" i="1"/>
  <c r="J576" i="1"/>
  <c r="P253" i="1"/>
  <c r="M253" i="1"/>
  <c r="I253" i="1"/>
  <c r="K890" i="1"/>
  <c r="K378" i="1"/>
  <c r="K289" i="1"/>
  <c r="P289" i="1"/>
  <c r="M289" i="1"/>
  <c r="I289" i="1"/>
  <c r="I197" i="1"/>
  <c r="M197" i="1"/>
  <c r="I577" i="1"/>
  <c r="M577" i="1"/>
  <c r="I65" i="1"/>
  <c r="M65" i="1"/>
  <c r="I901" i="1"/>
  <c r="M901" i="1"/>
  <c r="I490" i="1"/>
  <c r="M490" i="1"/>
  <c r="I78" i="1"/>
  <c r="M78" i="1"/>
  <c r="N161" i="1"/>
  <c r="J161" i="1"/>
  <c r="L502" i="1"/>
  <c r="P502" i="1"/>
  <c r="K180" i="1"/>
  <c r="L843" i="1"/>
  <c r="P843" i="1"/>
  <c r="L458" i="1"/>
  <c r="P458" i="1"/>
  <c r="L673" i="1"/>
  <c r="L823" i="1"/>
  <c r="P823" i="1"/>
  <c r="L648" i="1"/>
  <c r="P648" i="1"/>
  <c r="L649" i="1"/>
  <c r="L894" i="1"/>
  <c r="P894" i="1"/>
  <c r="K275" i="1"/>
  <c r="L917" i="1"/>
  <c r="P917" i="1"/>
  <c r="L623" i="1"/>
  <c r="L661" i="1"/>
  <c r="P661" i="1"/>
  <c r="L379" i="1"/>
  <c r="P379" i="1"/>
  <c r="L576" i="1"/>
  <c r="P576" i="1"/>
  <c r="L253" i="1"/>
  <c r="L890" i="1"/>
  <c r="P890" i="1"/>
  <c r="L378" i="1"/>
  <c r="P378" i="1"/>
  <c r="K402" i="1"/>
  <c r="J289" i="1"/>
  <c r="N237" i="1"/>
  <c r="J237" i="1"/>
  <c r="P237" i="1"/>
  <c r="M237" i="1"/>
  <c r="I237" i="1"/>
  <c r="K237" i="1"/>
  <c r="P605" i="1"/>
  <c r="M605" i="1"/>
  <c r="I605" i="1"/>
  <c r="N605" i="1"/>
  <c r="H605" i="1"/>
  <c r="L605" i="1"/>
  <c r="J605" i="1"/>
  <c r="K879" i="1"/>
  <c r="N927" i="1"/>
  <c r="J927" i="1"/>
  <c r="M927" i="1"/>
  <c r="H927" i="1"/>
  <c r="P927" i="1"/>
  <c r="L927" i="1"/>
  <c r="I927" i="1"/>
  <c r="J320" i="1"/>
  <c r="N320" i="1"/>
  <c r="J321" i="1"/>
  <c r="N321" i="1"/>
  <c r="J506" i="1"/>
  <c r="N506" i="1"/>
  <c r="J433" i="1"/>
  <c r="N433" i="1"/>
  <c r="J222" i="1"/>
  <c r="N222" i="1"/>
  <c r="J174" i="1"/>
  <c r="N174" i="1"/>
  <c r="I463" i="1"/>
  <c r="M463" i="1"/>
  <c r="J259" i="1"/>
  <c r="N259" i="1"/>
  <c r="J533" i="1"/>
  <c r="N533" i="1"/>
  <c r="I877" i="1"/>
  <c r="M877" i="1"/>
  <c r="I235" i="1"/>
  <c r="M235" i="1"/>
  <c r="I888" i="1"/>
  <c r="M888" i="1"/>
  <c r="L549" i="1"/>
  <c r="L483" i="1"/>
  <c r="H242" i="1"/>
  <c r="H70" i="1"/>
  <c r="K236" i="1"/>
  <c r="H550" i="1"/>
  <c r="L591" i="1"/>
  <c r="L758" i="1"/>
  <c r="H606" i="1"/>
  <c r="L469" i="1"/>
  <c r="P443" i="1"/>
  <c r="M443" i="1"/>
  <c r="I443" i="1"/>
  <c r="H715" i="1"/>
  <c r="P913" i="1"/>
  <c r="M913" i="1"/>
  <c r="I913" i="1"/>
  <c r="N913" i="1"/>
  <c r="J913" i="1"/>
  <c r="P721" i="1"/>
  <c r="M721" i="1"/>
  <c r="I721" i="1"/>
  <c r="N721" i="1"/>
  <c r="J721" i="1"/>
  <c r="P937" i="1"/>
  <c r="M937" i="1"/>
  <c r="I937" i="1"/>
  <c r="N937" i="1"/>
  <c r="J937" i="1"/>
  <c r="P608" i="1"/>
  <c r="M608" i="1"/>
  <c r="I608" i="1"/>
  <c r="N608" i="1"/>
  <c r="J608" i="1"/>
  <c r="P829" i="1"/>
  <c r="M829" i="1"/>
  <c r="I829" i="1"/>
  <c r="N829" i="1"/>
  <c r="J829" i="1"/>
  <c r="P242" i="1"/>
  <c r="M242" i="1"/>
  <c r="I242" i="1"/>
  <c r="N70" i="1"/>
  <c r="J70" i="1"/>
  <c r="P550" i="1"/>
  <c r="M550" i="1"/>
  <c r="I550" i="1"/>
  <c r="N606" i="1"/>
  <c r="J606" i="1"/>
  <c r="K715" i="1"/>
  <c r="N386" i="1"/>
  <c r="J386" i="1"/>
  <c r="K386" i="1"/>
  <c r="N681" i="1"/>
  <c r="J681" i="1"/>
  <c r="K681" i="1"/>
  <c r="N618" i="1"/>
  <c r="J618" i="1"/>
  <c r="K618" i="1"/>
  <c r="N637" i="1"/>
  <c r="J637" i="1"/>
  <c r="K637" i="1"/>
  <c r="N96" i="1"/>
  <c r="J96" i="1"/>
  <c r="K96" i="1"/>
  <c r="N716" i="1"/>
  <c r="J716" i="1"/>
  <c r="K716" i="1"/>
  <c r="N814" i="1"/>
  <c r="J814" i="1"/>
  <c r="K814" i="1"/>
  <c r="N50" i="1"/>
  <c r="J50" i="1"/>
  <c r="P50" i="1"/>
  <c r="M50" i="1"/>
  <c r="I50" i="1"/>
  <c r="K50" i="1"/>
  <c r="K708" i="1"/>
  <c r="M708" i="1"/>
  <c r="H708" i="1"/>
  <c r="P708" i="1"/>
  <c r="L708" i="1"/>
  <c r="N708" i="1"/>
  <c r="I708" i="1"/>
  <c r="P848" i="1"/>
  <c r="M848" i="1"/>
  <c r="I848" i="1"/>
  <c r="N848" i="1"/>
  <c r="H848" i="1"/>
  <c r="L848" i="1"/>
  <c r="J848" i="1"/>
  <c r="I320" i="1"/>
  <c r="M320" i="1"/>
  <c r="I321" i="1"/>
  <c r="M321" i="1"/>
  <c r="I506" i="1"/>
  <c r="M506" i="1"/>
  <c r="I433" i="1"/>
  <c r="M433" i="1"/>
  <c r="I222" i="1"/>
  <c r="M222" i="1"/>
  <c r="I174" i="1"/>
  <c r="M174" i="1"/>
  <c r="I259" i="1"/>
  <c r="M259" i="1"/>
  <c r="I533" i="1"/>
  <c r="M533" i="1"/>
  <c r="N549" i="1"/>
  <c r="J549" i="1"/>
  <c r="N483" i="1"/>
  <c r="J483" i="1"/>
  <c r="L242" i="1"/>
  <c r="L70" i="1"/>
  <c r="P70" i="1"/>
  <c r="L550" i="1"/>
  <c r="K591" i="1"/>
  <c r="K758" i="1"/>
  <c r="L606" i="1"/>
  <c r="P606" i="1"/>
  <c r="N469" i="1"/>
  <c r="J469" i="1"/>
  <c r="L715" i="1"/>
  <c r="P715" i="1"/>
  <c r="I386" i="1"/>
  <c r="P386" i="1"/>
  <c r="I681" i="1"/>
  <c r="P681" i="1"/>
  <c r="I618" i="1"/>
  <c r="P618" i="1"/>
  <c r="I637" i="1"/>
  <c r="P637" i="1"/>
  <c r="P96" i="1"/>
  <c r="N100" i="1"/>
  <c r="J100" i="1"/>
  <c r="P100" i="1"/>
  <c r="M100" i="1"/>
  <c r="I100" i="1"/>
  <c r="K100" i="1"/>
  <c r="I361" i="1"/>
  <c r="M361" i="1"/>
  <c r="I534" i="1"/>
  <c r="M534" i="1"/>
  <c r="I233" i="1"/>
  <c r="M233" i="1"/>
  <c r="I176" i="1"/>
  <c r="M176" i="1"/>
  <c r="I949" i="1"/>
  <c r="M949" i="1"/>
  <c r="I47" i="1"/>
  <c r="M47" i="1"/>
  <c r="I771" i="1"/>
  <c r="M771" i="1"/>
  <c r="I687" i="1"/>
  <c r="M687" i="1"/>
  <c r="I49" i="1"/>
  <c r="M49" i="1"/>
  <c r="I982" i="1"/>
  <c r="M982" i="1"/>
  <c r="J97" i="1"/>
  <c r="N97" i="1"/>
  <c r="I319" i="1"/>
  <c r="M319" i="1"/>
  <c r="I80" i="1"/>
  <c r="M80" i="1"/>
  <c r="H423" i="1"/>
  <c r="L397" i="1"/>
  <c r="N621" i="1"/>
  <c r="J621" i="1"/>
  <c r="K904" i="1"/>
  <c r="H709" i="1"/>
  <c r="H973" i="1"/>
  <c r="L461" i="1"/>
  <c r="P847" i="1"/>
  <c r="M847" i="1"/>
  <c r="I847" i="1"/>
  <c r="N604" i="1"/>
  <c r="J604" i="1"/>
  <c r="H584" i="1"/>
  <c r="H203" i="1"/>
  <c r="N936" i="1"/>
  <c r="J936" i="1"/>
  <c r="M936" i="1"/>
  <c r="H936" i="1"/>
  <c r="P936" i="1"/>
  <c r="L936" i="1"/>
  <c r="I936" i="1"/>
  <c r="P210" i="1"/>
  <c r="M210" i="1"/>
  <c r="I210" i="1"/>
  <c r="J210" i="1"/>
  <c r="L210" i="1"/>
  <c r="K210" i="1"/>
  <c r="N210" i="1"/>
  <c r="N559" i="1"/>
  <c r="J559" i="1"/>
  <c r="I559" i="1"/>
  <c r="P559" i="1"/>
  <c r="L559" i="1"/>
  <c r="K559" i="1"/>
  <c r="H559" i="1"/>
  <c r="M559" i="1"/>
  <c r="P423" i="1"/>
  <c r="M423" i="1"/>
  <c r="I423" i="1"/>
  <c r="N709" i="1"/>
  <c r="J709" i="1"/>
  <c r="N973" i="1"/>
  <c r="J973" i="1"/>
  <c r="P584" i="1"/>
  <c r="M584" i="1"/>
  <c r="I584" i="1"/>
  <c r="N203" i="1"/>
  <c r="J203" i="1"/>
  <c r="K981" i="1"/>
  <c r="M981" i="1"/>
  <c r="H981" i="1"/>
  <c r="P981" i="1"/>
  <c r="L981" i="1"/>
  <c r="N981" i="1"/>
  <c r="I981" i="1"/>
  <c r="K391" i="1"/>
  <c r="M391" i="1"/>
  <c r="H391" i="1"/>
  <c r="P391" i="1"/>
  <c r="L391" i="1"/>
  <c r="N391" i="1"/>
  <c r="I391" i="1"/>
  <c r="I97" i="1"/>
  <c r="M97" i="1"/>
  <c r="L423" i="1"/>
  <c r="P396" i="1"/>
  <c r="M396" i="1"/>
  <c r="I396" i="1"/>
  <c r="N397" i="1"/>
  <c r="J397" i="1"/>
  <c r="L709" i="1"/>
  <c r="P709" i="1"/>
  <c r="L973" i="1"/>
  <c r="P973" i="1"/>
  <c r="P603" i="1"/>
  <c r="M603" i="1"/>
  <c r="I603" i="1"/>
  <c r="N461" i="1"/>
  <c r="J461" i="1"/>
  <c r="L584" i="1"/>
  <c r="L203" i="1"/>
  <c r="P203" i="1"/>
  <c r="K374" i="1"/>
  <c r="M374" i="1"/>
  <c r="H374" i="1"/>
  <c r="P374" i="1"/>
  <c r="L374" i="1"/>
  <c r="N374" i="1"/>
  <c r="I374" i="1"/>
  <c r="K850" i="1"/>
  <c r="M850" i="1"/>
  <c r="H850" i="1"/>
  <c r="L850" i="1"/>
  <c r="P850" i="1"/>
  <c r="J850" i="1"/>
  <c r="N850" i="1"/>
  <c r="L520" i="1"/>
  <c r="H126" i="1"/>
  <c r="L102" i="1"/>
  <c r="N120" i="1"/>
  <c r="J120" i="1"/>
  <c r="K223" i="1"/>
  <c r="L299" i="1"/>
  <c r="H328" i="1"/>
  <c r="P612" i="1"/>
  <c r="M612" i="1"/>
  <c r="I612" i="1"/>
  <c r="L612" i="1"/>
  <c r="K493" i="1"/>
  <c r="P104" i="1"/>
  <c r="M104" i="1"/>
  <c r="I104" i="1"/>
  <c r="J104" i="1"/>
  <c r="K445" i="1"/>
  <c r="N445" i="1"/>
  <c r="I445" i="1"/>
  <c r="P445" i="1"/>
  <c r="L445" i="1"/>
  <c r="N537" i="1"/>
  <c r="J537" i="1"/>
  <c r="M537" i="1"/>
  <c r="H537" i="1"/>
  <c r="L537" i="1"/>
  <c r="P537" i="1"/>
  <c r="K537" i="1"/>
  <c r="N126" i="1"/>
  <c r="J126" i="1"/>
  <c r="K328" i="1"/>
  <c r="K132" i="1"/>
  <c r="P132" i="1"/>
  <c r="L132" i="1"/>
  <c r="K110" i="1"/>
  <c r="N110" i="1"/>
  <c r="I110" i="1"/>
  <c r="N675" i="1"/>
  <c r="J675" i="1"/>
  <c r="M675" i="1"/>
  <c r="H675" i="1"/>
  <c r="P675" i="1"/>
  <c r="L675" i="1"/>
  <c r="I675" i="1"/>
  <c r="K520" i="1"/>
  <c r="L126" i="1"/>
  <c r="P126" i="1"/>
  <c r="N102" i="1"/>
  <c r="J102" i="1"/>
  <c r="P81" i="1"/>
  <c r="M81" i="1"/>
  <c r="I81" i="1"/>
  <c r="N299" i="1"/>
  <c r="J299" i="1"/>
  <c r="L328" i="1"/>
  <c r="P328" i="1"/>
  <c r="J132" i="1"/>
  <c r="N493" i="1"/>
  <c r="J493" i="1"/>
  <c r="I493" i="1"/>
  <c r="J110" i="1"/>
  <c r="P110" i="1"/>
  <c r="K190" i="1"/>
  <c r="M190" i="1"/>
  <c r="H190" i="1"/>
  <c r="P190" i="1"/>
  <c r="L190" i="1"/>
  <c r="N190" i="1"/>
  <c r="I190" i="1"/>
  <c r="N219" i="1"/>
  <c r="J219" i="1"/>
  <c r="H582" i="1"/>
  <c r="P440" i="1"/>
  <c r="M440" i="1"/>
  <c r="I440" i="1"/>
  <c r="N983" i="1"/>
  <c r="J983" i="1"/>
  <c r="H150" i="1"/>
  <c r="P855" i="1"/>
  <c r="M855" i="1"/>
  <c r="I855" i="1"/>
  <c r="H619" i="1"/>
  <c r="L617" i="1"/>
  <c r="P617" i="1"/>
  <c r="H741" i="1"/>
  <c r="K527" i="1"/>
  <c r="M527" i="1"/>
  <c r="H527" i="1"/>
  <c r="P527" i="1"/>
  <c r="L527" i="1"/>
  <c r="N527" i="1"/>
  <c r="I527" i="1"/>
  <c r="K804" i="1"/>
  <c r="M804" i="1"/>
  <c r="H804" i="1"/>
  <c r="P804" i="1"/>
  <c r="L804" i="1"/>
  <c r="N804" i="1"/>
  <c r="I804" i="1"/>
  <c r="P554" i="1"/>
  <c r="M554" i="1"/>
  <c r="I554" i="1"/>
  <c r="N554" i="1"/>
  <c r="H554" i="1"/>
  <c r="L554" i="1"/>
  <c r="K554" i="1"/>
  <c r="P582" i="1"/>
  <c r="M582" i="1"/>
  <c r="I582" i="1"/>
  <c r="P150" i="1"/>
  <c r="M150" i="1"/>
  <c r="I150" i="1"/>
  <c r="K619" i="1"/>
  <c r="I617" i="1"/>
  <c r="P741" i="1"/>
  <c r="M741" i="1"/>
  <c r="I741" i="1"/>
  <c r="K274" i="1"/>
  <c r="N274" i="1"/>
  <c r="I274" i="1"/>
  <c r="K617" i="1"/>
  <c r="H66" i="1"/>
  <c r="K67" i="1"/>
  <c r="L117" i="1"/>
  <c r="L538" i="1"/>
  <c r="J710" i="1"/>
  <c r="N166" i="1"/>
  <c r="J166" i="1"/>
  <c r="P166" i="1"/>
  <c r="L166" i="1"/>
  <c r="K166" i="1"/>
  <c r="M166" i="1"/>
  <c r="I166" i="1"/>
  <c r="P487" i="1"/>
  <c r="M487" i="1"/>
  <c r="I487" i="1"/>
  <c r="L487" i="1"/>
  <c r="K487" i="1"/>
  <c r="N487" i="1"/>
  <c r="J487" i="1"/>
  <c r="K66" i="1"/>
  <c r="P720" i="1"/>
  <c r="M720" i="1"/>
  <c r="I720" i="1"/>
  <c r="J720" i="1"/>
  <c r="K720" i="1"/>
  <c r="H720" i="1"/>
  <c r="N720" i="1"/>
  <c r="L720" i="1"/>
  <c r="L66" i="1"/>
  <c r="P66" i="1"/>
  <c r="K117" i="1"/>
  <c r="N538" i="1"/>
  <c r="J538" i="1"/>
  <c r="P535" i="1"/>
  <c r="M535" i="1"/>
  <c r="I535" i="1"/>
  <c r="J535" i="1"/>
  <c r="K710" i="1"/>
  <c r="N710" i="1"/>
  <c r="I710" i="1"/>
  <c r="P169" i="1"/>
  <c r="M169" i="1"/>
  <c r="I169" i="1"/>
  <c r="N162" i="1"/>
  <c r="J162" i="1"/>
  <c r="N454" i="1"/>
  <c r="J454" i="1"/>
  <c r="L94" i="1"/>
  <c r="K616" i="1"/>
  <c r="M616" i="1"/>
  <c r="H616" i="1"/>
  <c r="K509" i="1"/>
  <c r="M509" i="1"/>
  <c r="H509" i="1"/>
  <c r="N509" i="1"/>
  <c r="I878" i="1"/>
  <c r="J978" i="1"/>
  <c r="N383" i="1"/>
  <c r="J383" i="1"/>
  <c r="M383" i="1"/>
  <c r="H383" i="1"/>
  <c r="P383" i="1"/>
  <c r="K383" i="1"/>
  <c r="H405" i="1"/>
  <c r="J357" i="1"/>
  <c r="H365" i="1"/>
  <c r="P365" i="1"/>
  <c r="K366" i="1"/>
  <c r="P366" i="1"/>
  <c r="L366" i="1"/>
  <c r="N366" i="1"/>
  <c r="H366" i="1"/>
  <c r="H285" i="1"/>
  <c r="P285" i="1"/>
  <c r="K530" i="1"/>
  <c r="P530" i="1"/>
  <c r="L530" i="1"/>
  <c r="J530" i="1"/>
  <c r="N530" i="1"/>
  <c r="I530" i="1"/>
  <c r="H530" i="1"/>
  <c r="M530" i="1"/>
  <c r="P555" i="1"/>
  <c r="M555" i="1"/>
  <c r="I555" i="1"/>
  <c r="N555" i="1"/>
  <c r="H555" i="1"/>
  <c r="P86" i="1"/>
  <c r="M86" i="1"/>
  <c r="I86" i="1"/>
  <c r="L86" i="1"/>
  <c r="N86" i="1"/>
  <c r="K292" i="1"/>
  <c r="P292" i="1"/>
  <c r="L292" i="1"/>
  <c r="J292" i="1"/>
  <c r="N295" i="1"/>
  <c r="J295" i="1"/>
  <c r="M295" i="1"/>
  <c r="H295" i="1"/>
  <c r="P283" i="1"/>
  <c r="M283" i="1"/>
  <c r="I283" i="1"/>
  <c r="J283" i="1"/>
  <c r="K283" i="1"/>
  <c r="P178" i="1"/>
  <c r="M178" i="1"/>
  <c r="I178" i="1"/>
  <c r="N178" i="1"/>
  <c r="H178" i="1"/>
  <c r="L178" i="1"/>
  <c r="K178" i="1"/>
  <c r="J178" i="1"/>
  <c r="N94" i="1"/>
  <c r="J94" i="1"/>
  <c r="K878" i="1"/>
  <c r="M878" i="1"/>
  <c r="H878" i="1"/>
  <c r="P878" i="1"/>
  <c r="J878" i="1"/>
  <c r="P978" i="1"/>
  <c r="M978" i="1"/>
  <c r="I978" i="1"/>
  <c r="N978" i="1"/>
  <c r="H978" i="1"/>
  <c r="K405" i="1"/>
  <c r="N405" i="1"/>
  <c r="I405" i="1"/>
  <c r="P405" i="1"/>
  <c r="J405" i="1"/>
  <c r="P357" i="1"/>
  <c r="M357" i="1"/>
  <c r="I357" i="1"/>
  <c r="N357" i="1"/>
  <c r="H357" i="1"/>
  <c r="K357" i="1"/>
  <c r="K365" i="1"/>
  <c r="N365" i="1"/>
  <c r="I365" i="1"/>
  <c r="M365" i="1"/>
  <c r="N285" i="1"/>
  <c r="J285" i="1"/>
  <c r="I285" i="1"/>
  <c r="M285" i="1"/>
  <c r="P192" i="1"/>
  <c r="M192" i="1"/>
  <c r="I192" i="1"/>
  <c r="J192" i="1"/>
  <c r="N660" i="1"/>
  <c r="J660" i="1"/>
  <c r="M660" i="1"/>
  <c r="H660" i="1"/>
  <c r="K129" i="1"/>
  <c r="N129" i="1"/>
  <c r="I129" i="1"/>
  <c r="N153" i="1"/>
  <c r="J153" i="1"/>
  <c r="M153" i="1"/>
  <c r="H153" i="1"/>
  <c r="N297" i="1"/>
  <c r="J297" i="1"/>
  <c r="P297" i="1"/>
  <c r="L297" i="1"/>
  <c r="P417" i="1"/>
  <c r="M417" i="1"/>
  <c r="I417" i="1"/>
  <c r="N417" i="1"/>
  <c r="H417" i="1"/>
  <c r="K293" i="1"/>
  <c r="N293" i="1"/>
  <c r="I293" i="1"/>
  <c r="N594" i="1"/>
  <c r="J594" i="1"/>
  <c r="I594" i="1"/>
  <c r="K912" i="1"/>
  <c r="M912" i="1"/>
  <c r="H912" i="1"/>
  <c r="K127" i="1"/>
  <c r="P127" i="1"/>
  <c r="L127" i="1"/>
  <c r="N596" i="1"/>
  <c r="J596" i="1"/>
  <c r="M596" i="1"/>
  <c r="H596" i="1"/>
  <c r="P596" i="1"/>
  <c r="I596" i="1"/>
  <c r="P613" i="1"/>
  <c r="M613" i="1"/>
  <c r="I613" i="1"/>
  <c r="L613" i="1"/>
  <c r="K613" i="1"/>
  <c r="N613" i="1"/>
  <c r="N136" i="1"/>
  <c r="J136" i="1"/>
  <c r="M136" i="1"/>
  <c r="H136" i="1"/>
  <c r="P136" i="1"/>
  <c r="K136" i="1"/>
  <c r="I136" i="1"/>
  <c r="N769" i="1"/>
  <c r="J769" i="1"/>
  <c r="M769" i="1"/>
  <c r="H769" i="1"/>
  <c r="P769" i="1"/>
  <c r="K769" i="1"/>
  <c r="I769" i="1"/>
  <c r="P860" i="1"/>
  <c r="M860" i="1"/>
  <c r="I860" i="1"/>
  <c r="L860" i="1"/>
  <c r="H860" i="1"/>
  <c r="N860" i="1"/>
  <c r="K544" i="1"/>
  <c r="N544" i="1"/>
  <c r="I544" i="1"/>
  <c r="P544" i="1"/>
  <c r="J544" i="1"/>
  <c r="L544" i="1"/>
  <c r="P602" i="1"/>
  <c r="M602" i="1"/>
  <c r="I602" i="1"/>
  <c r="J602" i="1"/>
  <c r="N602" i="1"/>
  <c r="L602" i="1"/>
  <c r="H602" i="1"/>
  <c r="K602" i="1"/>
  <c r="P541" i="1"/>
  <c r="M541" i="1"/>
  <c r="I541" i="1"/>
  <c r="J541" i="1"/>
  <c r="K592" i="1"/>
  <c r="P592" i="1"/>
  <c r="L592" i="1"/>
  <c r="M592" i="1"/>
  <c r="N614" i="1"/>
  <c r="J614" i="1"/>
  <c r="P614" i="1"/>
  <c r="L614" i="1"/>
  <c r="M614" i="1"/>
  <c r="K935" i="1"/>
  <c r="P935" i="1"/>
  <c r="L935" i="1"/>
  <c r="M935" i="1"/>
  <c r="N805" i="1"/>
  <c r="J805" i="1"/>
  <c r="P805" i="1"/>
  <c r="L805" i="1"/>
  <c r="M805" i="1"/>
  <c r="N583" i="1"/>
  <c r="J583" i="1"/>
  <c r="I583" i="1"/>
  <c r="P583" i="1"/>
  <c r="K583" i="1"/>
  <c r="L583" i="1"/>
  <c r="N515" i="1"/>
  <c r="J515" i="1"/>
  <c r="P515" i="1"/>
  <c r="L515" i="1"/>
  <c r="K515" i="1"/>
  <c r="I515" i="1"/>
  <c r="P348" i="1"/>
  <c r="M348" i="1"/>
  <c r="I348" i="1"/>
  <c r="J348" i="1"/>
  <c r="L348" i="1"/>
  <c r="K348" i="1"/>
  <c r="H348" i="1"/>
  <c r="N348" i="1"/>
  <c r="P131" i="1"/>
  <c r="M131" i="1"/>
  <c r="I131" i="1"/>
  <c r="J131" i="1"/>
  <c r="L131" i="1"/>
  <c r="K131" i="1"/>
  <c r="H131" i="1"/>
  <c r="N131" i="1"/>
  <c r="H515" i="1"/>
  <c r="N536" i="1"/>
  <c r="J536" i="1"/>
  <c r="P536" i="1"/>
  <c r="L536" i="1"/>
  <c r="M536" i="1"/>
  <c r="K536" i="1"/>
  <c r="I536" i="1"/>
  <c r="H536" i="1"/>
  <c r="N381" i="1"/>
  <c r="J381" i="1"/>
  <c r="I381" i="1"/>
  <c r="P381" i="1"/>
  <c r="K381" i="1"/>
  <c r="H381" i="1"/>
  <c r="L381" i="1"/>
  <c r="P232" i="1"/>
  <c r="M232" i="1"/>
  <c r="I232" i="1"/>
  <c r="L232" i="1"/>
  <c r="H232" i="1"/>
  <c r="N512" i="1"/>
  <c r="J512" i="1"/>
  <c r="M512" i="1"/>
  <c r="H512" i="1"/>
  <c r="P512" i="1"/>
  <c r="K512" i="1"/>
  <c r="N581" i="1"/>
  <c r="J581" i="1"/>
  <c r="M581" i="1"/>
  <c r="H581" i="1"/>
  <c r="L581" i="1"/>
  <c r="N61" i="1"/>
  <c r="J61" i="1"/>
  <c r="P61" i="1"/>
  <c r="L61" i="1"/>
  <c r="K61" i="1"/>
  <c r="I61" i="1"/>
  <c r="M61" i="1"/>
  <c r="H61" i="1"/>
  <c r="N142" i="1"/>
  <c r="J142" i="1"/>
  <c r="M142" i="1"/>
  <c r="H142" i="1"/>
  <c r="P142" i="1"/>
  <c r="K142" i="1"/>
  <c r="I142" i="1"/>
  <c r="L142" i="1"/>
  <c r="N831" i="1"/>
  <c r="J831" i="1"/>
  <c r="I831" i="1"/>
  <c r="M831" i="1"/>
  <c r="K831" i="1"/>
  <c r="P831" i="1"/>
  <c r="H831" i="1"/>
  <c r="P598" i="1"/>
  <c r="M598" i="1"/>
  <c r="I598" i="1"/>
  <c r="N598" i="1"/>
  <c r="H598" i="1"/>
  <c r="K598" i="1"/>
  <c r="P54" i="1"/>
  <c r="M54" i="1"/>
  <c r="I54" i="1"/>
  <c r="L54" i="1"/>
  <c r="N54" i="1"/>
  <c r="K54" i="1"/>
  <c r="K141" i="1"/>
  <c r="M141" i="1"/>
  <c r="H141" i="1"/>
  <c r="P141" i="1"/>
  <c r="J141" i="1"/>
  <c r="L141" i="1"/>
  <c r="K914" i="1"/>
  <c r="P914" i="1"/>
  <c r="L914" i="1"/>
  <c r="J914" i="1"/>
  <c r="N914" i="1"/>
  <c r="N511" i="1"/>
  <c r="J511" i="1"/>
  <c r="M511" i="1"/>
  <c r="H511" i="1"/>
  <c r="P511" i="1"/>
  <c r="K511" i="1"/>
  <c r="L511" i="1"/>
  <c r="I511" i="1"/>
  <c r="K171" i="1"/>
  <c r="P837" i="1"/>
  <c r="M837" i="1"/>
  <c r="I837" i="1"/>
  <c r="N343" i="1"/>
  <c r="J343" i="1"/>
  <c r="N962" i="1"/>
  <c r="J962" i="1"/>
  <c r="P206" i="1"/>
  <c r="M206" i="1"/>
  <c r="I206" i="1"/>
  <c r="P488" i="1"/>
  <c r="M488" i="1"/>
  <c r="I488" i="1"/>
  <c r="K465" i="1"/>
  <c r="N307" i="1"/>
  <c r="J307" i="1"/>
  <c r="N52" i="1"/>
  <c r="J52" i="1"/>
  <c r="P316" i="1"/>
  <c r="M316" i="1"/>
  <c r="I316" i="1"/>
  <c r="L316" i="1"/>
  <c r="P699" i="1"/>
  <c r="M699" i="1"/>
  <c r="I699" i="1"/>
  <c r="N699" i="1"/>
  <c r="H699" i="1"/>
  <c r="N928" i="1"/>
  <c r="J928" i="1"/>
  <c r="M928" i="1"/>
  <c r="H928" i="1"/>
  <c r="K674" i="1"/>
  <c r="P674" i="1"/>
  <c r="L674" i="1"/>
  <c r="N859" i="1"/>
  <c r="J859" i="1"/>
  <c r="M859" i="1"/>
  <c r="H859" i="1"/>
  <c r="P144" i="1"/>
  <c r="M144" i="1"/>
  <c r="I144" i="1"/>
  <c r="N144" i="1"/>
  <c r="H144" i="1"/>
  <c r="P140" i="1"/>
  <c r="M140" i="1"/>
  <c r="I140" i="1"/>
  <c r="L140" i="1"/>
  <c r="N83" i="1"/>
  <c r="J83" i="1"/>
  <c r="P83" i="1"/>
  <c r="L83" i="1"/>
  <c r="H83" i="1"/>
  <c r="K521" i="1"/>
  <c r="P521" i="1"/>
  <c r="L521" i="1"/>
  <c r="M521" i="1"/>
  <c r="P840" i="1"/>
  <c r="M840" i="1"/>
  <c r="I840" i="1"/>
  <c r="N840" i="1"/>
  <c r="H840" i="1"/>
  <c r="K840" i="1"/>
  <c r="L840" i="1"/>
  <c r="N529" i="1"/>
  <c r="J529" i="1"/>
  <c r="M529" i="1"/>
  <c r="H529" i="1"/>
  <c r="P529" i="1"/>
  <c r="I529" i="1"/>
  <c r="K670" i="1"/>
  <c r="P670" i="1"/>
  <c r="L670" i="1"/>
  <c r="N670" i="1"/>
  <c r="H670" i="1"/>
  <c r="M670" i="1"/>
  <c r="N141" i="1"/>
  <c r="P143" i="1"/>
  <c r="M143" i="1"/>
  <c r="I143" i="1"/>
  <c r="N143" i="1"/>
  <c r="H143" i="1"/>
  <c r="K143" i="1"/>
  <c r="M914" i="1"/>
  <c r="P518" i="1"/>
  <c r="M518" i="1"/>
  <c r="I518" i="1"/>
  <c r="L518" i="1"/>
  <c r="H518" i="1"/>
  <c r="N518" i="1"/>
  <c r="P595" i="1"/>
  <c r="M595" i="1"/>
  <c r="I595" i="1"/>
  <c r="K170" i="1"/>
  <c r="K796" i="1"/>
  <c r="N690" i="1"/>
  <c r="J690" i="1"/>
  <c r="K137" i="1"/>
  <c r="K523" i="1"/>
  <c r="K601" i="1"/>
  <c r="M601" i="1"/>
  <c r="H601" i="1"/>
  <c r="K256" i="1"/>
  <c r="N256" i="1"/>
  <c r="I256" i="1"/>
  <c r="N255" i="1"/>
  <c r="J255" i="1"/>
  <c r="I255" i="1"/>
  <c r="N449" i="1"/>
  <c r="J449" i="1"/>
  <c r="I449" i="1"/>
  <c r="K82" i="1"/>
  <c r="P82" i="1"/>
  <c r="L82" i="1"/>
  <c r="P517" i="1"/>
  <c r="M517" i="1"/>
  <c r="I517" i="1"/>
  <c r="N517" i="1"/>
  <c r="H517" i="1"/>
  <c r="L517" i="1"/>
  <c r="P498" i="1"/>
  <c r="M498" i="1"/>
  <c r="I498" i="1"/>
  <c r="N498" i="1"/>
  <c r="H498" i="1"/>
  <c r="K498" i="1"/>
  <c r="K304" i="1"/>
  <c r="N138" i="1"/>
  <c r="J138" i="1"/>
  <c r="I138" i="1"/>
  <c r="K382" i="1"/>
  <c r="M382" i="1"/>
  <c r="H382" i="1"/>
  <c r="N382" i="1"/>
  <c r="P116" i="1"/>
  <c r="M116" i="1"/>
  <c r="I116" i="1"/>
  <c r="L116" i="1"/>
  <c r="N116" i="1"/>
  <c r="P862" i="1"/>
  <c r="M862" i="1"/>
  <c r="I862" i="1"/>
  <c r="K519" i="1"/>
  <c r="N589" i="1"/>
  <c r="J589" i="1"/>
  <c r="P56" i="1"/>
  <c r="M56" i="1"/>
  <c r="I56" i="1"/>
  <c r="N56" i="1"/>
  <c r="H56" i="1"/>
  <c r="N697" i="1"/>
  <c r="J697" i="1"/>
  <c r="M697" i="1"/>
  <c r="H697" i="1"/>
  <c r="N231" i="1"/>
  <c r="J231" i="1"/>
  <c r="K414" i="1"/>
  <c r="P542" i="1"/>
  <c r="M542" i="1"/>
  <c r="I542" i="1"/>
</calcChain>
</file>

<file path=xl/sharedStrings.xml><?xml version="1.0" encoding="utf-8"?>
<sst xmlns="http://schemas.openxmlformats.org/spreadsheetml/2006/main" count="5493" uniqueCount="2193">
  <si>
    <t>GCI</t>
  </si>
  <si>
    <t>Name</t>
  </si>
  <si>
    <t>Invoice</t>
  </si>
  <si>
    <t>Balance</t>
  </si>
  <si>
    <t>Foreign Balance</t>
  </si>
  <si>
    <t>Foreign Currency</t>
  </si>
  <si>
    <t>Tax Invoice</t>
  </si>
  <si>
    <t>Date</t>
  </si>
  <si>
    <t>EDI Status</t>
  </si>
  <si>
    <t>File</t>
  </si>
  <si>
    <t>HBL</t>
  </si>
  <si>
    <t>Last EDI Status Date</t>
  </si>
  <si>
    <t>Last EDI Status Reason</t>
  </si>
  <si>
    <t>EDI - Sent</t>
  </si>
  <si>
    <t>EDI successfully sent</t>
  </si>
  <si>
    <t>G0285994</t>
  </si>
  <si>
    <t>G0411681</t>
  </si>
  <si>
    <t>G1406011</t>
  </si>
  <si>
    <t>E2C1139832</t>
  </si>
  <si>
    <t>22C0321304</t>
  </si>
  <si>
    <t>G0340000</t>
  </si>
  <si>
    <t>G0605643</t>
  </si>
  <si>
    <t>E2C1022034</t>
  </si>
  <si>
    <t>22C0286265</t>
  </si>
  <si>
    <t>E2C1017495</t>
  </si>
  <si>
    <t>22C0285113</t>
  </si>
  <si>
    <t>G0256816</t>
  </si>
  <si>
    <t>G0310484</t>
  </si>
  <si>
    <t>G0210676</t>
  </si>
  <si>
    <t>G0335156</t>
  </si>
  <si>
    <t>G0435924</t>
  </si>
  <si>
    <t>USD</t>
  </si>
  <si>
    <t>G0510665</t>
  </si>
  <si>
    <t>G0725393</t>
  </si>
  <si>
    <t>G0773786</t>
  </si>
  <si>
    <t>G0857377</t>
  </si>
  <si>
    <t>G0866231</t>
  </si>
  <si>
    <t>G0895607</t>
  </si>
  <si>
    <t>G0901343</t>
  </si>
  <si>
    <t>G0984654</t>
  </si>
  <si>
    <t>G0513826</t>
  </si>
  <si>
    <t>G0614448</t>
  </si>
  <si>
    <t>G0397983</t>
  </si>
  <si>
    <t>G0785463</t>
  </si>
  <si>
    <t>G0537203</t>
  </si>
  <si>
    <t>G1263977</t>
  </si>
  <si>
    <t>E2C1017500</t>
  </si>
  <si>
    <t>22C0285114</t>
  </si>
  <si>
    <t>G0256501</t>
  </si>
  <si>
    <t>E2C1015607</t>
  </si>
  <si>
    <t>22C0284438</t>
  </si>
  <si>
    <t>EDE - Error</t>
  </si>
  <si>
    <t>G0418262</t>
  </si>
  <si>
    <t>G1832740</t>
  </si>
  <si>
    <t>G1527082</t>
  </si>
  <si>
    <t>E2C1014597</t>
  </si>
  <si>
    <t>22C0284204</t>
  </si>
  <si>
    <t>E2C1014629</t>
  </si>
  <si>
    <t>22C0284290</t>
  </si>
  <si>
    <t>E2C1015121</t>
  </si>
  <si>
    <t>22C0282851</t>
  </si>
  <si>
    <t>E2C1015146</t>
  </si>
  <si>
    <t>22C0282625</t>
  </si>
  <si>
    <t>E2C1015154</t>
  </si>
  <si>
    <t>22C0283455</t>
  </si>
  <si>
    <t>E2C1015339</t>
  </si>
  <si>
    <t>22C0284603</t>
  </si>
  <si>
    <t>E2C1015393</t>
  </si>
  <si>
    <t>22C0284136</t>
  </si>
  <si>
    <t>E2C1015420</t>
  </si>
  <si>
    <t>22C0284183</t>
  </si>
  <si>
    <t>E2C1015428</t>
  </si>
  <si>
    <t>22C0284029</t>
  </si>
  <si>
    <t>E2C1015605</t>
  </si>
  <si>
    <t>22C0284437</t>
  </si>
  <si>
    <t>E2C1015610</t>
  </si>
  <si>
    <t>22C0284446</t>
  </si>
  <si>
    <t>E2C1015636</t>
  </si>
  <si>
    <t>22C0284447</t>
  </si>
  <si>
    <t>E2C1015704</t>
  </si>
  <si>
    <t>22C0284037</t>
  </si>
  <si>
    <t>E2C1015791</t>
  </si>
  <si>
    <t>22C0284667</t>
  </si>
  <si>
    <t>E2C1016218</t>
  </si>
  <si>
    <t>22C0282179</t>
  </si>
  <si>
    <t>E2C1016630</t>
  </si>
  <si>
    <t>22C0284445</t>
  </si>
  <si>
    <t>E2C1017428</t>
  </si>
  <si>
    <t>22C0285110</t>
  </si>
  <si>
    <t>E2C1017430</t>
  </si>
  <si>
    <t>22C0285111</t>
  </si>
  <si>
    <t>E2C1017502</t>
  </si>
  <si>
    <t>22C0285115</t>
  </si>
  <si>
    <t>E2C1017816</t>
  </si>
  <si>
    <t>22C0285112</t>
  </si>
  <si>
    <t>E2C1017831</t>
  </si>
  <si>
    <t>22C0284953</t>
  </si>
  <si>
    <t>E2C1018321</t>
  </si>
  <si>
    <t>22C0285252</t>
  </si>
  <si>
    <t>E2C1018550</t>
  </si>
  <si>
    <t>22C0285376</t>
  </si>
  <si>
    <t>E2C1019539</t>
  </si>
  <si>
    <t>22C0285737</t>
  </si>
  <si>
    <t>E2C1019621</t>
  </si>
  <si>
    <t>22C0285862</t>
  </si>
  <si>
    <t>E2C1019658</t>
  </si>
  <si>
    <t>22C0285849</t>
  </si>
  <si>
    <t>E2C1019662</t>
  </si>
  <si>
    <t>22C0285850</t>
  </si>
  <si>
    <t>E2C1019664</t>
  </si>
  <si>
    <t>22C0285851</t>
  </si>
  <si>
    <t>E2C1019666</t>
  </si>
  <si>
    <t>22C0285855</t>
  </si>
  <si>
    <t>E2C1019668</t>
  </si>
  <si>
    <t>22C0285920</t>
  </si>
  <si>
    <t>E2C1020637</t>
  </si>
  <si>
    <t>22C0285634</t>
  </si>
  <si>
    <t>E2C1020645</t>
  </si>
  <si>
    <t>22C0285847</t>
  </si>
  <si>
    <t>E2C1020647</t>
  </si>
  <si>
    <t>22C0285557</t>
  </si>
  <si>
    <t>E2C1021247</t>
  </si>
  <si>
    <t>22C0285573</t>
  </si>
  <si>
    <t>G0763134</t>
  </si>
  <si>
    <t>E2C1022032</t>
  </si>
  <si>
    <t>22C0286260</t>
  </si>
  <si>
    <t>E2C1022063</t>
  </si>
  <si>
    <t>22C0286528</t>
  </si>
  <si>
    <t>E2C1022070</t>
  </si>
  <si>
    <t>22C0286538</t>
  </si>
  <si>
    <t>E2C1022073</t>
  </si>
  <si>
    <t>22C0286539</t>
  </si>
  <si>
    <t>G1163580</t>
  </si>
  <si>
    <t>G0552333</t>
  </si>
  <si>
    <t>G0829286</t>
  </si>
  <si>
    <t>E2C1027597</t>
  </si>
  <si>
    <t>22C0287692</t>
  </si>
  <si>
    <t>E2C1028881</t>
  </si>
  <si>
    <t>22C0284416</t>
  </si>
  <si>
    <t>G0819616</t>
  </si>
  <si>
    <t>G1059809</t>
  </si>
  <si>
    <t>G0652686</t>
  </si>
  <si>
    <t>G0584947</t>
  </si>
  <si>
    <t>G0256817</t>
  </si>
  <si>
    <t>G0533701</t>
  </si>
  <si>
    <t>G0695696</t>
  </si>
  <si>
    <t>E2C1053036</t>
  </si>
  <si>
    <t>22C0295415</t>
  </si>
  <si>
    <t>G1768450</t>
  </si>
  <si>
    <t>E2C1113735</t>
  </si>
  <si>
    <t>22C0313060</t>
  </si>
  <si>
    <t>G0482071</t>
  </si>
  <si>
    <t>G0720026</t>
  </si>
  <si>
    <t>G1724728</t>
  </si>
  <si>
    <t>G0405336</t>
  </si>
  <si>
    <t>E2C1071526</t>
  </si>
  <si>
    <t>22C0299878</t>
  </si>
  <si>
    <t>G0318616</t>
  </si>
  <si>
    <t>G1387034</t>
  </si>
  <si>
    <t>E2C1075904</t>
  </si>
  <si>
    <t>22C0300571</t>
  </si>
  <si>
    <t>G0619860</t>
  </si>
  <si>
    <t>G0428789</t>
  </si>
  <si>
    <t>G0486823</t>
  </si>
  <si>
    <t>G1141695</t>
  </si>
  <si>
    <t>G0789661</t>
  </si>
  <si>
    <t>22C0320296</t>
  </si>
  <si>
    <t>G0342006</t>
  </si>
  <si>
    <t>E2C1088004</t>
  </si>
  <si>
    <t>22C0303997</t>
  </si>
  <si>
    <t>22C0305746</t>
  </si>
  <si>
    <t>G1949125</t>
  </si>
  <si>
    <t>E2C1092175</t>
  </si>
  <si>
    <t>22C0306736</t>
  </si>
  <si>
    <t>E2C1092222</t>
  </si>
  <si>
    <t>G0953808</t>
  </si>
  <si>
    <t>E2C1093158</t>
  </si>
  <si>
    <t>22C0307013</t>
  </si>
  <si>
    <t>42J0197813</t>
  </si>
  <si>
    <t>G0778000</t>
  </si>
  <si>
    <t>E2C1094184</t>
  </si>
  <si>
    <t>E2C1094454</t>
  </si>
  <si>
    <t>22C0307098</t>
  </si>
  <si>
    <t>G0445880</t>
  </si>
  <si>
    <t>G0630627</t>
  </si>
  <si>
    <t>22C0307635</t>
  </si>
  <si>
    <t>E2C1119285</t>
  </si>
  <si>
    <t>22C0314467</t>
  </si>
  <si>
    <t>E2C1098593</t>
  </si>
  <si>
    <t>22C0308447</t>
  </si>
  <si>
    <t>E2C1098605</t>
  </si>
  <si>
    <t>22C0308459</t>
  </si>
  <si>
    <t>E2C1098607</t>
  </si>
  <si>
    <t>22C0308464</t>
  </si>
  <si>
    <t>E2C1098608</t>
  </si>
  <si>
    <t>22C0308467</t>
  </si>
  <si>
    <t>E2C1098610</t>
  </si>
  <si>
    <t>22C0308716</t>
  </si>
  <si>
    <t>E2C1098615</t>
  </si>
  <si>
    <t>22C0308191</t>
  </si>
  <si>
    <t>E2C1098617</t>
  </si>
  <si>
    <t>22C0308297</t>
  </si>
  <si>
    <t>E2C1098618</t>
  </si>
  <si>
    <t>22C0308298</t>
  </si>
  <si>
    <t>E2C1098630</t>
  </si>
  <si>
    <t>22C0307787</t>
  </si>
  <si>
    <t>E2C1098632</t>
  </si>
  <si>
    <t>22C0307938</t>
  </si>
  <si>
    <t>E2C1098633</t>
  </si>
  <si>
    <t>22C0307939</t>
  </si>
  <si>
    <t>E2C1098634</t>
  </si>
  <si>
    <t>22C0307949</t>
  </si>
  <si>
    <t>E2C1098850</t>
  </si>
  <si>
    <t>22C0308847</t>
  </si>
  <si>
    <t>E2C1099803</t>
  </si>
  <si>
    <t>22C0308827</t>
  </si>
  <si>
    <t>E2C1099804</t>
  </si>
  <si>
    <t>22C0308828</t>
  </si>
  <si>
    <t>E2C1099805</t>
  </si>
  <si>
    <t>22C0308871</t>
  </si>
  <si>
    <t>E2C1099806</t>
  </si>
  <si>
    <t>22C0309009</t>
  </si>
  <si>
    <t>E2C1100298</t>
  </si>
  <si>
    <t>22C0308668</t>
  </si>
  <si>
    <t>E2C1100301</t>
  </si>
  <si>
    <t>22C0308677</t>
  </si>
  <si>
    <t>E2C1100596</t>
  </si>
  <si>
    <t>22C0309049</t>
  </si>
  <si>
    <t>E2C1100607</t>
  </si>
  <si>
    <t>22C0309051</t>
  </si>
  <si>
    <t>E2C1100663</t>
  </si>
  <si>
    <t>22C0307294</t>
  </si>
  <si>
    <t>G0300800</t>
  </si>
  <si>
    <t>G1406025</t>
  </si>
  <si>
    <t>E2C1101093</t>
  </si>
  <si>
    <t>22C0309052</t>
  </si>
  <si>
    <t>E2C1101102</t>
  </si>
  <si>
    <t>22C0309129</t>
  </si>
  <si>
    <t>E2C1101123</t>
  </si>
  <si>
    <t>22C0309391</t>
  </si>
  <si>
    <t>G0457614</t>
  </si>
  <si>
    <t>G0685423</t>
  </si>
  <si>
    <t>E2C1101570</t>
  </si>
  <si>
    <t>22C0309340</t>
  </si>
  <si>
    <t>E2C1101579</t>
  </si>
  <si>
    <t>22C0308296</t>
  </si>
  <si>
    <t>E2C1101719</t>
  </si>
  <si>
    <t>22C0307155</t>
  </si>
  <si>
    <t>E2C1102133</t>
  </si>
  <si>
    <t>22C0300147</t>
  </si>
  <si>
    <t>E2C1102212</t>
  </si>
  <si>
    <t>22C0308881</t>
  </si>
  <si>
    <t>G0555533</t>
  </si>
  <si>
    <t>E2C1102255</t>
  </si>
  <si>
    <t>22C0309807</t>
  </si>
  <si>
    <t>G2127188</t>
  </si>
  <si>
    <t>E2C1102739</t>
  </si>
  <si>
    <t>22C0309746</t>
  </si>
  <si>
    <t>E2C1102746</t>
  </si>
  <si>
    <t>22C0309412</t>
  </si>
  <si>
    <t>E2C1102749</t>
  </si>
  <si>
    <t>22C0309413</t>
  </si>
  <si>
    <t>E2C1102750</t>
  </si>
  <si>
    <t>22C0309414</t>
  </si>
  <si>
    <t>E2C1102752</t>
  </si>
  <si>
    <t>22C0309415</t>
  </si>
  <si>
    <t>G2106495</t>
  </si>
  <si>
    <t>22C0317827</t>
  </si>
  <si>
    <t>22C0309619</t>
  </si>
  <si>
    <t>G2338105</t>
  </si>
  <si>
    <t>G2356300</t>
  </si>
  <si>
    <t>E2C1104364</t>
  </si>
  <si>
    <t>22C0310001</t>
  </si>
  <si>
    <t>E2C1104457</t>
  </si>
  <si>
    <t>22C0309485</t>
  </si>
  <si>
    <t>E2C1104492</t>
  </si>
  <si>
    <t>22C0310096</t>
  </si>
  <si>
    <t>E2C1104495</t>
  </si>
  <si>
    <t>22C0310098</t>
  </si>
  <si>
    <t>G2356299</t>
  </si>
  <si>
    <t>E2C1104565</t>
  </si>
  <si>
    <t>22C0310247</t>
  </si>
  <si>
    <t>E2C1104739</t>
  </si>
  <si>
    <t>22C0310317</t>
  </si>
  <si>
    <t>E2C1104843</t>
  </si>
  <si>
    <t>22C0310370</t>
  </si>
  <si>
    <t>E2C1104865</t>
  </si>
  <si>
    <t>22C0309956</t>
  </si>
  <si>
    <t>E2C1104880</t>
  </si>
  <si>
    <t>22C0310302</t>
  </si>
  <si>
    <t>E2C1104955</t>
  </si>
  <si>
    <t>22C0310276</t>
  </si>
  <si>
    <t>E2C1105022</t>
  </si>
  <si>
    <t>22C0309676</t>
  </si>
  <si>
    <t>E2C1105264</t>
  </si>
  <si>
    <t>22C0310431</t>
  </si>
  <si>
    <t>E2C1105271</t>
  </si>
  <si>
    <t>22C0310282</t>
  </si>
  <si>
    <t>E2C1105276</t>
  </si>
  <si>
    <t>22C0310291</t>
  </si>
  <si>
    <t>22C0304382</t>
  </si>
  <si>
    <t>22C0304381</t>
  </si>
  <si>
    <t>G2025884</t>
  </si>
  <si>
    <t>E2C1105588</t>
  </si>
  <si>
    <t>22C0310244</t>
  </si>
  <si>
    <t>E2C1105669</t>
  </si>
  <si>
    <t>22C0309995</t>
  </si>
  <si>
    <t>G2207914</t>
  </si>
  <si>
    <t>E2C1105670</t>
  </si>
  <si>
    <t>22C0310275</t>
  </si>
  <si>
    <t>E2C1105678</t>
  </si>
  <si>
    <t>22C0309994</t>
  </si>
  <si>
    <t>E2C1105677</t>
  </si>
  <si>
    <t>22C0310075</t>
  </si>
  <si>
    <t>42J0199166</t>
  </si>
  <si>
    <t>E2C1106439</t>
  </si>
  <si>
    <t>22C0310615</t>
  </si>
  <si>
    <t>E2C1106441</t>
  </si>
  <si>
    <t>22C0310817</t>
  </si>
  <si>
    <t>E2C1106443</t>
  </si>
  <si>
    <t>22C0310629</t>
  </si>
  <si>
    <t>E2C1106446</t>
  </si>
  <si>
    <t>22C0310616</t>
  </si>
  <si>
    <t>E2C1106435</t>
  </si>
  <si>
    <t>22C0310603</t>
  </si>
  <si>
    <t>E2C1106732</t>
  </si>
  <si>
    <t>22C0310596</t>
  </si>
  <si>
    <t>E2C1106935</t>
  </si>
  <si>
    <t>E2C1107034</t>
  </si>
  <si>
    <t>22C0311015</t>
  </si>
  <si>
    <t>E2C1107036</t>
  </si>
  <si>
    <t>22C0311101</t>
  </si>
  <si>
    <t>E2C1107040</t>
  </si>
  <si>
    <t>22C0311102</t>
  </si>
  <si>
    <t>E2C1107047</t>
  </si>
  <si>
    <t>22C0310906</t>
  </si>
  <si>
    <t>G2361250</t>
  </si>
  <si>
    <t>E2C1107355</t>
  </si>
  <si>
    <t>22C0311366</t>
  </si>
  <si>
    <t>E2C1107387</t>
  </si>
  <si>
    <t>22C0311018</t>
  </si>
  <si>
    <t>E2C1107373</t>
  </si>
  <si>
    <t>22C0311251</t>
  </si>
  <si>
    <t>E2C1107382</t>
  </si>
  <si>
    <t>22C0311007</t>
  </si>
  <si>
    <t>E2C1107383</t>
  </si>
  <si>
    <t>22C0311009</t>
  </si>
  <si>
    <t>E2C1107471</t>
  </si>
  <si>
    <t>22C0310469</t>
  </si>
  <si>
    <t>E2C1107472</t>
  </si>
  <si>
    <t>22C0310804</t>
  </si>
  <si>
    <t>22C0313195</t>
  </si>
  <si>
    <t>E2C1107875</t>
  </si>
  <si>
    <t>22C0311427</t>
  </si>
  <si>
    <t>G1023605</t>
  </si>
  <si>
    <t>E2C1108629</t>
  </si>
  <si>
    <t>22C0311477</t>
  </si>
  <si>
    <t>E2C1108692</t>
  </si>
  <si>
    <t>22C0311594</t>
  </si>
  <si>
    <t>E2C1108817</t>
  </si>
  <si>
    <t>22C0311121</t>
  </si>
  <si>
    <t>E2C1108839</t>
  </si>
  <si>
    <t>22C0311046</t>
  </si>
  <si>
    <t>E2C1108975</t>
  </si>
  <si>
    <t>22C0311373</t>
  </si>
  <si>
    <t>E2C1109282</t>
  </si>
  <si>
    <t>22C0311527</t>
  </si>
  <si>
    <t>E2C1109284</t>
  </si>
  <si>
    <t>22C0311528</t>
  </si>
  <si>
    <t>E2C1109328</t>
  </si>
  <si>
    <t>22C0311315</t>
  </si>
  <si>
    <t>E2C1109358</t>
  </si>
  <si>
    <t>22C0311918</t>
  </si>
  <si>
    <t>E2C1109361</t>
  </si>
  <si>
    <t>22C0311917</t>
  </si>
  <si>
    <t>E2C1109993</t>
  </si>
  <si>
    <t>22C0311301</t>
  </si>
  <si>
    <t>E2C1109995</t>
  </si>
  <si>
    <t>22C0311302</t>
  </si>
  <si>
    <t>E2C1109997</t>
  </si>
  <si>
    <t>22C0311319</t>
  </si>
  <si>
    <t>E2C1110001</t>
  </si>
  <si>
    <t>22C0311896</t>
  </si>
  <si>
    <t>E2C1110201</t>
  </si>
  <si>
    <t>22C0311646</t>
  </si>
  <si>
    <t>E2C1110263</t>
  </si>
  <si>
    <t>22C0311844</t>
  </si>
  <si>
    <t>E2C1110508</t>
  </si>
  <si>
    <t>22C0311450</t>
  </si>
  <si>
    <t>E2C1111097</t>
  </si>
  <si>
    <t>22C0312380</t>
  </si>
  <si>
    <t>E2C1111100</t>
  </si>
  <si>
    <t>22C0312382</t>
  </si>
  <si>
    <t>E2C1111272</t>
  </si>
  <si>
    <t>22C0311991</t>
  </si>
  <si>
    <t>E2C1111264</t>
  </si>
  <si>
    <t>22C0312187</t>
  </si>
  <si>
    <t>E2C1111395</t>
  </si>
  <si>
    <t>22C0312022</t>
  </si>
  <si>
    <t>E2C1111408</t>
  </si>
  <si>
    <t>22C0312357</t>
  </si>
  <si>
    <t>E2C1111398</t>
  </si>
  <si>
    <t>22C0312168</t>
  </si>
  <si>
    <t>E2C1111401</t>
  </si>
  <si>
    <t>22C0312169</t>
  </si>
  <si>
    <t>E2C1111403</t>
  </si>
  <si>
    <t>22C0312370</t>
  </si>
  <si>
    <t>E2C1111405</t>
  </si>
  <si>
    <t>22C0312371</t>
  </si>
  <si>
    <t>E2C1111413</t>
  </si>
  <si>
    <t>22C0312468</t>
  </si>
  <si>
    <t>E2C1111456</t>
  </si>
  <si>
    <t>22C0311529</t>
  </si>
  <si>
    <t>E2C1111462</t>
  </si>
  <si>
    <t>22C0312055</t>
  </si>
  <si>
    <t>G1315261</t>
  </si>
  <si>
    <t>E2C1111779</t>
  </si>
  <si>
    <t>22C0312475</t>
  </si>
  <si>
    <t>G0272685</t>
  </si>
  <si>
    <t>22C0312388</t>
  </si>
  <si>
    <t>E2C1111889</t>
  </si>
  <si>
    <t>22C0312170</t>
  </si>
  <si>
    <t>E2C1111891</t>
  </si>
  <si>
    <t>22C0312465</t>
  </si>
  <si>
    <t>E2C1111893</t>
  </si>
  <si>
    <t>22C0312467</t>
  </si>
  <si>
    <t>G2296021</t>
  </si>
  <si>
    <t>22C0312270</t>
  </si>
  <si>
    <t>E2C1111911</t>
  </si>
  <si>
    <t>22C0312292</t>
  </si>
  <si>
    <t>E2C1112458</t>
  </si>
  <si>
    <t>22C0312768</t>
  </si>
  <si>
    <t>E2C1112475</t>
  </si>
  <si>
    <t>22C0312690</t>
  </si>
  <si>
    <t>E2C1112716</t>
  </si>
  <si>
    <t>22C0312638</t>
  </si>
  <si>
    <t>E2C1112775</t>
  </si>
  <si>
    <t>22C0312599</t>
  </si>
  <si>
    <t>C12989057</t>
  </si>
  <si>
    <t>E2C1113283</t>
  </si>
  <si>
    <t>22C0312598</t>
  </si>
  <si>
    <t>E2C1113287</t>
  </si>
  <si>
    <t>22C0312513</t>
  </si>
  <si>
    <t>E2C1113387</t>
  </si>
  <si>
    <t>22C0312944</t>
  </si>
  <si>
    <t>E2C1113424</t>
  </si>
  <si>
    <t>22C0312358</t>
  </si>
  <si>
    <t>C12989120</t>
  </si>
  <si>
    <t>E2C1113520</t>
  </si>
  <si>
    <t>22C0312932</t>
  </si>
  <si>
    <t>E2C1113570</t>
  </si>
  <si>
    <t>22C0312941</t>
  </si>
  <si>
    <t>E2C1113572</t>
  </si>
  <si>
    <t>22C0312942</t>
  </si>
  <si>
    <t>E2C1113662</t>
  </si>
  <si>
    <t>22C0312910</t>
  </si>
  <si>
    <t>E2C1113616</t>
  </si>
  <si>
    <t>22C0312954</t>
  </si>
  <si>
    <t>E2C1113733</t>
  </si>
  <si>
    <t>22C0313058</t>
  </si>
  <si>
    <t>E2C1113672</t>
  </si>
  <si>
    <t>22C0313057</t>
  </si>
  <si>
    <t>E2C1113703</t>
  </si>
  <si>
    <t>22C0312940</t>
  </si>
  <si>
    <t>E2C1113734</t>
  </si>
  <si>
    <t>22C0313059</t>
  </si>
  <si>
    <t>G1972729</t>
  </si>
  <si>
    <t>E2C1113736</t>
  </si>
  <si>
    <t>22C0312943</t>
  </si>
  <si>
    <t>G0367484</t>
  </si>
  <si>
    <t>E2C1113823</t>
  </si>
  <si>
    <t>22C0312745</t>
  </si>
  <si>
    <t>E2C1113910</t>
  </si>
  <si>
    <t>22C0313122</t>
  </si>
  <si>
    <t>E2C1113974</t>
  </si>
  <si>
    <t>22C0313157</t>
  </si>
  <si>
    <t>E2C1114336</t>
  </si>
  <si>
    <t>22C0313010</t>
  </si>
  <si>
    <t>G2124257</t>
  </si>
  <si>
    <t>E2C1114460</t>
  </si>
  <si>
    <t>G0343633</t>
  </si>
  <si>
    <t>E2C1114827</t>
  </si>
  <si>
    <t>22C0305451</t>
  </si>
  <si>
    <t>E2C1114845</t>
  </si>
  <si>
    <t>22C0313350</t>
  </si>
  <si>
    <t>E2C1114846</t>
  </si>
  <si>
    <t>22C0313337</t>
  </si>
  <si>
    <t>E2C1114849</t>
  </si>
  <si>
    <t>22C0313332</t>
  </si>
  <si>
    <t>E2C1114907</t>
  </si>
  <si>
    <t>22C0313526</t>
  </si>
  <si>
    <t>G2332161</t>
  </si>
  <si>
    <t>G1578255</t>
  </si>
  <si>
    <t>E2C1115312</t>
  </si>
  <si>
    <t>22C0313453</t>
  </si>
  <si>
    <t>E2C1115313</t>
  </si>
  <si>
    <t>22C0313456</t>
  </si>
  <si>
    <t>E2C1115326</t>
  </si>
  <si>
    <t>22C0313375</t>
  </si>
  <si>
    <t>22C0313031</t>
  </si>
  <si>
    <t>E2C1115402</t>
  </si>
  <si>
    <t>22C0313353</t>
  </si>
  <si>
    <t>E2C1115405</t>
  </si>
  <si>
    <t>22C0313073</t>
  </si>
  <si>
    <t>E2C1115447</t>
  </si>
  <si>
    <t>22C0313357</t>
  </si>
  <si>
    <t>E2C1115449</t>
  </si>
  <si>
    <t>22C0313455</t>
  </si>
  <si>
    <t>E2C1115450</t>
  </si>
  <si>
    <t>22C0313530</t>
  </si>
  <si>
    <t>E2C1115413</t>
  </si>
  <si>
    <t>22C0313074</t>
  </si>
  <si>
    <t>E2C1115430</t>
  </si>
  <si>
    <t>22C0313478</t>
  </si>
  <si>
    <t>E2C1115432</t>
  </si>
  <si>
    <t>22C0313488</t>
  </si>
  <si>
    <t>E2C1115538</t>
  </si>
  <si>
    <t>22C0313485</t>
  </si>
  <si>
    <t>E2C1115556</t>
  </si>
  <si>
    <t>22C0313033</t>
  </si>
  <si>
    <t>E2C1115577</t>
  </si>
  <si>
    <t>22C0313538</t>
  </si>
  <si>
    <t>E2C1115599</t>
  </si>
  <si>
    <t>22C0313481</t>
  </si>
  <si>
    <t>E2C1115895</t>
  </si>
  <si>
    <t>22C0313879</t>
  </si>
  <si>
    <t>E2C1116080</t>
  </si>
  <si>
    <t>22C0313745</t>
  </si>
  <si>
    <t>42L0066143</t>
  </si>
  <si>
    <t>E2C1116122</t>
  </si>
  <si>
    <t>22C0313709</t>
  </si>
  <si>
    <t>E2C1116189</t>
  </si>
  <si>
    <t>22C0313882</t>
  </si>
  <si>
    <t>E2C1116219</t>
  </si>
  <si>
    <t>22C0313897</t>
  </si>
  <si>
    <t>E2C1116340</t>
  </si>
  <si>
    <t>22C0313903</t>
  </si>
  <si>
    <t>E2C1116343</t>
  </si>
  <si>
    <t>22C0313904</t>
  </si>
  <si>
    <t>E2C1116349</t>
  </si>
  <si>
    <t>22C0313912</t>
  </si>
  <si>
    <t>E2C1116356</t>
  </si>
  <si>
    <t>22C0313913</t>
  </si>
  <si>
    <t>E2C1116391</t>
  </si>
  <si>
    <t>22C0312769</t>
  </si>
  <si>
    <t>E2C1116387</t>
  </si>
  <si>
    <t>22C0313714</t>
  </si>
  <si>
    <t>E2C1116394</t>
  </si>
  <si>
    <t>22C0313705</t>
  </si>
  <si>
    <t>E2C1116650</t>
  </si>
  <si>
    <t>22C0313627</t>
  </si>
  <si>
    <t>E2C1116658</t>
  </si>
  <si>
    <t>22C0313858</t>
  </si>
  <si>
    <t>E2C1116662</t>
  </si>
  <si>
    <t>22C0313859</t>
  </si>
  <si>
    <t>E2C1116671</t>
  </si>
  <si>
    <t>22C0313970</t>
  </si>
  <si>
    <t>E2C1116680</t>
  </si>
  <si>
    <t>22C0313900</t>
  </si>
  <si>
    <t>E2C1116681</t>
  </si>
  <si>
    <t>22C0313902</t>
  </si>
  <si>
    <t>E2C1116693</t>
  </si>
  <si>
    <t>22C0313415</t>
  </si>
  <si>
    <t>E2C1116962</t>
  </si>
  <si>
    <t>22C0313777</t>
  </si>
  <si>
    <t>G0604127</t>
  </si>
  <si>
    <t>G0230068</t>
  </si>
  <si>
    <t>E2C1117049</t>
  </si>
  <si>
    <t>22C0314132</t>
  </si>
  <si>
    <t>E2C1117080</t>
  </si>
  <si>
    <t>22C0314133</t>
  </si>
  <si>
    <t>E2C1117093</t>
  </si>
  <si>
    <t>22C0313998</t>
  </si>
  <si>
    <t>E2C1117095</t>
  </si>
  <si>
    <t>22C0314118</t>
  </si>
  <si>
    <t>E2C1117154</t>
  </si>
  <si>
    <t>22C0314115</t>
  </si>
  <si>
    <t>22C0316108</t>
  </si>
  <si>
    <t>E2C1117436</t>
  </si>
  <si>
    <t>22C0313945</t>
  </si>
  <si>
    <t>E2C1117629</t>
  </si>
  <si>
    <t>22C0314342</t>
  </si>
  <si>
    <t>E2C1117654</t>
  </si>
  <si>
    <t>22C0314394</t>
  </si>
  <si>
    <t>E2C1117655</t>
  </si>
  <si>
    <t>22C0314395</t>
  </si>
  <si>
    <t>E2C1117793</t>
  </si>
  <si>
    <t>22C0314451</t>
  </si>
  <si>
    <t>E2C1117840</t>
  </si>
  <si>
    <t>22C0314430</t>
  </si>
  <si>
    <t>E2C1117859</t>
  </si>
  <si>
    <t>22C0314471</t>
  </si>
  <si>
    <t>E2C1117848</t>
  </si>
  <si>
    <t>22C0314439</t>
  </si>
  <si>
    <t>E2C1117896</t>
  </si>
  <si>
    <t>22C0313935</t>
  </si>
  <si>
    <t>E2C1118125</t>
  </si>
  <si>
    <t>22C0314660</t>
  </si>
  <si>
    <t>E2C1118141</t>
  </si>
  <si>
    <t>22C0314596</t>
  </si>
  <si>
    <t>E2C1118152</t>
  </si>
  <si>
    <t>22C0314597</t>
  </si>
  <si>
    <t>E2C1118234</t>
  </si>
  <si>
    <t>22C0314442</t>
  </si>
  <si>
    <t>E2C1118217</t>
  </si>
  <si>
    <t>22C0314433</t>
  </si>
  <si>
    <t>E2C1118294</t>
  </si>
  <si>
    <t>22C0314696</t>
  </si>
  <si>
    <t>G2390515</t>
  </si>
  <si>
    <t>E2C1118282</t>
  </si>
  <si>
    <t>22C0314363</t>
  </si>
  <si>
    <t>E2C1118636</t>
  </si>
  <si>
    <t>22C0314373</t>
  </si>
  <si>
    <t>E2C1118646</t>
  </si>
  <si>
    <t>22C0314109</t>
  </si>
  <si>
    <t>E2C1118650</t>
  </si>
  <si>
    <t>22C0313776</t>
  </si>
  <si>
    <t>E2C1118654</t>
  </si>
  <si>
    <t>22C0313605</t>
  </si>
  <si>
    <t>E2C1118655</t>
  </si>
  <si>
    <t>22C0313784</t>
  </si>
  <si>
    <t>E2C1118744</t>
  </si>
  <si>
    <t>22C0314844</t>
  </si>
  <si>
    <t>E2C1118941</t>
  </si>
  <si>
    <t>22C0313702</t>
  </si>
  <si>
    <t>E2C1118947</t>
  </si>
  <si>
    <t>22C0313644</t>
  </si>
  <si>
    <t>E2C1118963</t>
  </si>
  <si>
    <t>22C0314065</t>
  </si>
  <si>
    <t>G0508726</t>
  </si>
  <si>
    <t>E2C1119284</t>
  </si>
  <si>
    <t>22C0314464</t>
  </si>
  <si>
    <t>E2C1119290</t>
  </si>
  <si>
    <t>22C0314825</t>
  </si>
  <si>
    <t>E2C1119295</t>
  </si>
  <si>
    <t>22C0314920</t>
  </si>
  <si>
    <t>E2C1119296</t>
  </si>
  <si>
    <t>22C0314921</t>
  </si>
  <si>
    <t>E2C1119294</t>
  </si>
  <si>
    <t>22C0314936</t>
  </si>
  <si>
    <t>E2C1119298</t>
  </si>
  <si>
    <t>22C0314878</t>
  </si>
  <si>
    <t>E2C1119323</t>
  </si>
  <si>
    <t>22C0313598</t>
  </si>
  <si>
    <t>E2C1119327</t>
  </si>
  <si>
    <t>22C0314413</t>
  </si>
  <si>
    <t>E2C1119336</t>
  </si>
  <si>
    <t>22C0313601</t>
  </si>
  <si>
    <t>E2C1119340</t>
  </si>
  <si>
    <t>22C0314147</t>
  </si>
  <si>
    <t>E2C1119342</t>
  </si>
  <si>
    <t>22C0314148</t>
  </si>
  <si>
    <t>E2C1119350</t>
  </si>
  <si>
    <t>22C0314361</t>
  </si>
  <si>
    <t>E2C1119353</t>
  </si>
  <si>
    <t>22C0314366</t>
  </si>
  <si>
    <t>E2C1119356</t>
  </si>
  <si>
    <t>22C0314368</t>
  </si>
  <si>
    <t>E2C1119357</t>
  </si>
  <si>
    <t>22C0314369</t>
  </si>
  <si>
    <t>E2C1119369</t>
  </si>
  <si>
    <t>22C0314929</t>
  </si>
  <si>
    <t>E2C1119415</t>
  </si>
  <si>
    <t>22C0314052</t>
  </si>
  <si>
    <t>E2C1119599</t>
  </si>
  <si>
    <t>22C0315153</t>
  </si>
  <si>
    <t>G1522643</t>
  </si>
  <si>
    <t>E2C1119955</t>
  </si>
  <si>
    <t>22C0315277</t>
  </si>
  <si>
    <t>E2C1120046</t>
  </si>
  <si>
    <t>22C0306534</t>
  </si>
  <si>
    <t>E2C1120079</t>
  </si>
  <si>
    <t>22C0314556</t>
  </si>
  <si>
    <t>E2C1120208</t>
  </si>
  <si>
    <t>22C0314847</t>
  </si>
  <si>
    <t>15425-94748</t>
  </si>
  <si>
    <t>E2C1120407</t>
  </si>
  <si>
    <t>22C0315056</t>
  </si>
  <si>
    <t>E2C1120412</t>
  </si>
  <si>
    <t>22C0315417</t>
  </si>
  <si>
    <t>E2C1120419</t>
  </si>
  <si>
    <t>22C0315177</t>
  </si>
  <si>
    <t>E2C1120420</t>
  </si>
  <si>
    <t>22C0315183</t>
  </si>
  <si>
    <t>E2C1120456</t>
  </si>
  <si>
    <t>22C0315137</t>
  </si>
  <si>
    <t>E2C1120457</t>
  </si>
  <si>
    <t>22C0315431</t>
  </si>
  <si>
    <t>E2C1120458</t>
  </si>
  <si>
    <t>22C0315432</t>
  </si>
  <si>
    <t>E2C1120460</t>
  </si>
  <si>
    <t>22C0315287</t>
  </si>
  <si>
    <t>E2C1120483</t>
  </si>
  <si>
    <t>22C0314880</t>
  </si>
  <si>
    <t>E2C1120495</t>
  </si>
  <si>
    <t>22C0315151</t>
  </si>
  <si>
    <t>E2C1120580</t>
  </si>
  <si>
    <t>22C0315426</t>
  </si>
  <si>
    <t>E2C1120697</t>
  </si>
  <si>
    <t>22C0314168</t>
  </si>
  <si>
    <t>E2C1120698</t>
  </si>
  <si>
    <t>22C0314200</t>
  </si>
  <si>
    <t>E2C1120701</t>
  </si>
  <si>
    <t>22C0314201</t>
  </si>
  <si>
    <t>E2C1120715</t>
  </si>
  <si>
    <t>22C0314237</t>
  </si>
  <si>
    <t>E2C1120723</t>
  </si>
  <si>
    <t>22C0315375</t>
  </si>
  <si>
    <t>E2C1120724</t>
  </si>
  <si>
    <t>22C0314466</t>
  </si>
  <si>
    <t>E2C1120774</t>
  </si>
  <si>
    <t>22C0314559</t>
  </si>
  <si>
    <t>E2C1120775</t>
  </si>
  <si>
    <t>22C0314560</t>
  </si>
  <si>
    <t>E2C1120776</t>
  </si>
  <si>
    <t>22C0314561</t>
  </si>
  <si>
    <t>C620085888</t>
  </si>
  <si>
    <t>E2C1120808</t>
  </si>
  <si>
    <t>22C0315397</t>
  </si>
  <si>
    <t>E2C1120779</t>
  </si>
  <si>
    <t>22C0314562</t>
  </si>
  <si>
    <t>E2C1120785</t>
  </si>
  <si>
    <t>22C0314563</t>
  </si>
  <si>
    <t>E2C1120788</t>
  </si>
  <si>
    <t>22C0314564</t>
  </si>
  <si>
    <t>E2C1120791</t>
  </si>
  <si>
    <t>22C0314817</t>
  </si>
  <si>
    <t>E2C1120794</t>
  </si>
  <si>
    <t>22C0314818</t>
  </si>
  <si>
    <t>E2C1120796</t>
  </si>
  <si>
    <t>22C0314819</t>
  </si>
  <si>
    <t>E2C1120800</t>
  </si>
  <si>
    <t>22C0315156</t>
  </si>
  <si>
    <t>E2C1120831</t>
  </si>
  <si>
    <t>22C0313597</t>
  </si>
  <si>
    <t>E2C1120843</t>
  </si>
  <si>
    <t>22C0315182</t>
  </si>
  <si>
    <t>E2C1121149</t>
  </si>
  <si>
    <t>22C0314435</t>
  </si>
  <si>
    <t>E2C1121192</t>
  </si>
  <si>
    <t>22C0315338</t>
  </si>
  <si>
    <t>E2C1121156</t>
  </si>
  <si>
    <t>22C0314602</t>
  </si>
  <si>
    <t>G2060147</t>
  </si>
  <si>
    <t>E2C1121160</t>
  </si>
  <si>
    <t>22C0315559</t>
  </si>
  <si>
    <t>G0664682</t>
  </si>
  <si>
    <t>E2C1121190</t>
  </si>
  <si>
    <t>22C0315165</t>
  </si>
  <si>
    <t>E2C1121177</t>
  </si>
  <si>
    <t>22C0315428</t>
  </si>
  <si>
    <t>E2C1121183</t>
  </si>
  <si>
    <t>22C0314434</t>
  </si>
  <si>
    <t>E2C1121185</t>
  </si>
  <si>
    <t>22C0315704</t>
  </si>
  <si>
    <t>E2C1121241</t>
  </si>
  <si>
    <t>22C0313658</t>
  </si>
  <si>
    <t>G1765625</t>
  </si>
  <si>
    <t>E2C1121390</t>
  </si>
  <si>
    <t>22C0315592</t>
  </si>
  <si>
    <t>E2C1121414</t>
  </si>
  <si>
    <t>22C0315126</t>
  </si>
  <si>
    <t>E2C1121401</t>
  </si>
  <si>
    <t>22C0315715</t>
  </si>
  <si>
    <t>E2C1121387</t>
  </si>
  <si>
    <t>22C0315380</t>
  </si>
  <si>
    <t>E2C1121462</t>
  </si>
  <si>
    <t>22C0315566</t>
  </si>
  <si>
    <t>E2C1121463</t>
  </si>
  <si>
    <t>22C0315838</t>
  </si>
  <si>
    <t>E2C1121465</t>
  </si>
  <si>
    <t>22C0315709</t>
  </si>
  <si>
    <t>E2C1121470</t>
  </si>
  <si>
    <t>22C0315711</t>
  </si>
  <si>
    <t>E2C1121473</t>
  </si>
  <si>
    <t>22C0315712</t>
  </si>
  <si>
    <t>E2C1121475</t>
  </si>
  <si>
    <t>22C0315714</t>
  </si>
  <si>
    <t>G0588184</t>
  </si>
  <si>
    <t>E2C1121863</t>
  </si>
  <si>
    <t>22C0314177</t>
  </si>
  <si>
    <t>E2C1121865</t>
  </si>
  <si>
    <t>22C0315512</t>
  </si>
  <si>
    <t>E2C1121880</t>
  </si>
  <si>
    <t>22C0315455</t>
  </si>
  <si>
    <t>E2C1121905</t>
  </si>
  <si>
    <t>22C0315834</t>
  </si>
  <si>
    <t>E2C1121907</t>
  </si>
  <si>
    <t>22C0315217</t>
  </si>
  <si>
    <t>E2C1121928</t>
  </si>
  <si>
    <t>22C0315451</t>
  </si>
  <si>
    <t>E2C1122037</t>
  </si>
  <si>
    <t>22C0315720</t>
  </si>
  <si>
    <t>E2C1122031</t>
  </si>
  <si>
    <t>22C0315718</t>
  </si>
  <si>
    <t>E2C1122152</t>
  </si>
  <si>
    <t>22C0315457</t>
  </si>
  <si>
    <t>AF00037408</t>
  </si>
  <si>
    <t>E2C1122182</t>
  </si>
  <si>
    <t>22C0314933</t>
  </si>
  <si>
    <t>E2C1122262</t>
  </si>
  <si>
    <t>22C0315492</t>
  </si>
  <si>
    <t>E2C1122267</t>
  </si>
  <si>
    <t>22C0315496</t>
  </si>
  <si>
    <t>E2C1122285</t>
  </si>
  <si>
    <t>22C0315499</t>
  </si>
  <si>
    <t>G0546055</t>
  </si>
  <si>
    <t>22C0314116</t>
  </si>
  <si>
    <t>E2C1122413</t>
  </si>
  <si>
    <t>E2C1122430</t>
  </si>
  <si>
    <t>22C0314942</t>
  </si>
  <si>
    <t>E2C1122435</t>
  </si>
  <si>
    <t>22C0315724</t>
  </si>
  <si>
    <t>E2C1122457</t>
  </si>
  <si>
    <t>22C0315684</t>
  </si>
  <si>
    <t>E2C1122465</t>
  </si>
  <si>
    <t>22C0315685</t>
  </si>
  <si>
    <t>E2C1122474</t>
  </si>
  <si>
    <t>22C0314937</t>
  </si>
  <si>
    <t>E2C1122478</t>
  </si>
  <si>
    <t>22C0315708</t>
  </si>
  <si>
    <t>E2C1122503</t>
  </si>
  <si>
    <t>22C0313484</t>
  </si>
  <si>
    <t>E2C1122675</t>
  </si>
  <si>
    <t>22C0316047</t>
  </si>
  <si>
    <t>E2C1122684</t>
  </si>
  <si>
    <t>22C0315728</t>
  </si>
  <si>
    <t>E2C1122718</t>
  </si>
  <si>
    <t>22C0315400</t>
  </si>
  <si>
    <t>E2C1122785</t>
  </si>
  <si>
    <t>22C0315939</t>
  </si>
  <si>
    <t>E2C1122758</t>
  </si>
  <si>
    <t>22C0314555</t>
  </si>
  <si>
    <t>E2C1122762</t>
  </si>
  <si>
    <t>22C0314334</t>
  </si>
  <si>
    <t>E2C1122792</t>
  </si>
  <si>
    <t>22C0315733</t>
  </si>
  <si>
    <t>E2C1122790</t>
  </si>
  <si>
    <t>22C0315683</t>
  </si>
  <si>
    <t>E2C1122810</t>
  </si>
  <si>
    <t>22C0315837</t>
  </si>
  <si>
    <t>E2C1122859</t>
  </si>
  <si>
    <t>22C0315695</t>
  </si>
  <si>
    <t>E2C1122838</t>
  </si>
  <si>
    <t>22C0312852</t>
  </si>
  <si>
    <t>E2C1122841</t>
  </si>
  <si>
    <t>22C0313441</t>
  </si>
  <si>
    <t>E2C1122845</t>
  </si>
  <si>
    <t>22C0314548</t>
  </si>
  <si>
    <t>E2C1122850</t>
  </si>
  <si>
    <t>22C0314810</t>
  </si>
  <si>
    <t>E2C1122854</t>
  </si>
  <si>
    <t>22C0315152</t>
  </si>
  <si>
    <t>E2C1122843</t>
  </si>
  <si>
    <t>22C0314213</t>
  </si>
  <si>
    <t>C620085752</t>
  </si>
  <si>
    <t>G0309433</t>
  </si>
  <si>
    <t>E2C1122919</t>
  </si>
  <si>
    <t>G0427617</t>
  </si>
  <si>
    <t>E2C1122960</t>
  </si>
  <si>
    <t>22C0316155</t>
  </si>
  <si>
    <t>E2C1123034</t>
  </si>
  <si>
    <t>22C0316197</t>
  </si>
  <si>
    <t>E2C1123035</t>
  </si>
  <si>
    <t>22C0316198</t>
  </si>
  <si>
    <t>E2C1123037</t>
  </si>
  <si>
    <t>22C0316199</t>
  </si>
  <si>
    <t>E2C1123040</t>
  </si>
  <si>
    <t>22C0316031</t>
  </si>
  <si>
    <t>E2C1123087</t>
  </si>
  <si>
    <t>22C0316043</t>
  </si>
  <si>
    <t>E2C1123088</t>
  </si>
  <si>
    <t>22C0316044</t>
  </si>
  <si>
    <t>G0882372</t>
  </si>
  <si>
    <t>E2C1123184</t>
  </si>
  <si>
    <t>22C0316037</t>
  </si>
  <si>
    <t>E2C1123189</t>
  </si>
  <si>
    <t>22C0315936</t>
  </si>
  <si>
    <t>E2C1123404</t>
  </si>
  <si>
    <t>22C0316277</t>
  </si>
  <si>
    <t>E2C1123423</t>
  </si>
  <si>
    <t>22C0316275</t>
  </si>
  <si>
    <t>E2C1123427</t>
  </si>
  <si>
    <t>22C0316254</t>
  </si>
  <si>
    <t>E2C1123440</t>
  </si>
  <si>
    <t>22C0316266</t>
  </si>
  <si>
    <t>E2C1123630</t>
  </si>
  <si>
    <t>22C0315953</t>
  </si>
  <si>
    <t>E2C1123634</t>
  </si>
  <si>
    <t>22C0316269</t>
  </si>
  <si>
    <t>E2C1123617</t>
  </si>
  <si>
    <t>22C0316175</t>
  </si>
  <si>
    <t>E2C1123621</t>
  </si>
  <si>
    <t>22C0316176</t>
  </si>
  <si>
    <t>E2C1123637</t>
  </si>
  <si>
    <t>22C0316239</t>
  </si>
  <si>
    <t>E2C1123709</t>
  </si>
  <si>
    <t>22C0315558</t>
  </si>
  <si>
    <t>E2C1123731</t>
  </si>
  <si>
    <t>22C0316251</t>
  </si>
  <si>
    <t>E2C1123832</t>
  </si>
  <si>
    <t>22C0316115</t>
  </si>
  <si>
    <t>E2C1123732</t>
  </si>
  <si>
    <t>22C0316252</t>
  </si>
  <si>
    <t>E2C1123734</t>
  </si>
  <si>
    <t>22C0316253</t>
  </si>
  <si>
    <t>E2C1123791</t>
  </si>
  <si>
    <t>22C0316272</t>
  </si>
  <si>
    <t>E2C1123802</t>
  </si>
  <si>
    <t>22C0316339</t>
  </si>
  <si>
    <t>E2C1123812</t>
  </si>
  <si>
    <t>E2C1123831</t>
  </si>
  <si>
    <t>22C0316114</t>
  </si>
  <si>
    <t>E2C1123907</t>
  </si>
  <si>
    <t>22C0316357</t>
  </si>
  <si>
    <t>E2C1124067</t>
  </si>
  <si>
    <t>22C0316333</t>
  </si>
  <si>
    <t>E2C1124097</t>
  </si>
  <si>
    <t>22C0316111</t>
  </si>
  <si>
    <t>E2C1124105</t>
  </si>
  <si>
    <t>22C0316271</t>
  </si>
  <si>
    <t>E2C1124453</t>
  </si>
  <si>
    <t>22C0316379</t>
  </si>
  <si>
    <t>E2C1124699</t>
  </si>
  <si>
    <t>22C0316302</t>
  </si>
  <si>
    <t>E2C1124865</t>
  </si>
  <si>
    <t>22C0316628</t>
  </si>
  <si>
    <t>E2C1124867</t>
  </si>
  <si>
    <t>22C0316710</t>
  </si>
  <si>
    <t>E2C1124882</t>
  </si>
  <si>
    <t>22C0316330</t>
  </si>
  <si>
    <t>E2C1124888</t>
  </si>
  <si>
    <t>22C0316653</t>
  </si>
  <si>
    <t>E2C1124890</t>
  </si>
  <si>
    <t>22C0316654</t>
  </si>
  <si>
    <t>E2C1124894</t>
  </si>
  <si>
    <t>22C0316662</t>
  </si>
  <si>
    <t>E2C1124911</t>
  </si>
  <si>
    <t>22C0316407</t>
  </si>
  <si>
    <t>E2C1124917</t>
  </si>
  <si>
    <t>22C0316757</t>
  </si>
  <si>
    <t>E2C1124918</t>
  </si>
  <si>
    <t>22C0316762</t>
  </si>
  <si>
    <t>E2C1124920</t>
  </si>
  <si>
    <t>22C0316691</t>
  </si>
  <si>
    <t>E2C1124923</t>
  </si>
  <si>
    <t>22C0316692</t>
  </si>
  <si>
    <t>E2C1124988</t>
  </si>
  <si>
    <t>22C0316598</t>
  </si>
  <si>
    <t>E2C1125123</t>
  </si>
  <si>
    <t>22C0317003</t>
  </si>
  <si>
    <t>E2C1125126</t>
  </si>
  <si>
    <t>22C0317009</t>
  </si>
  <si>
    <t>E2C1125127</t>
  </si>
  <si>
    <t>22C0317111</t>
  </si>
  <si>
    <t>E2C1125231</t>
  </si>
  <si>
    <t>22C0316107</t>
  </si>
  <si>
    <t>E2C1125268</t>
  </si>
  <si>
    <t>22C0316581</t>
  </si>
  <si>
    <t>E2C1125317</t>
  </si>
  <si>
    <t>22C0316732</t>
  </si>
  <si>
    <t>E2C1125397</t>
  </si>
  <si>
    <t>22C0316668</t>
  </si>
  <si>
    <t>E2C1125399</t>
  </si>
  <si>
    <t>22C0316706</t>
  </si>
  <si>
    <t>E2C1125592</t>
  </si>
  <si>
    <t>22C0316719</t>
  </si>
  <si>
    <t>E2C1125632</t>
  </si>
  <si>
    <t>E2C1125633</t>
  </si>
  <si>
    <t>E2C1125678</t>
  </si>
  <si>
    <t>22C0316652</t>
  </si>
  <si>
    <t>E2C1125670</t>
  </si>
  <si>
    <t>22C0316603</t>
  </si>
  <si>
    <t>E2C1125675</t>
  </si>
  <si>
    <t>22C0316752</t>
  </si>
  <si>
    <t>E2C1125859</t>
  </si>
  <si>
    <t>22C0317128</t>
  </si>
  <si>
    <t>41R0000099</t>
  </si>
  <si>
    <t>E2C1125887</t>
  </si>
  <si>
    <t>22C0316772</t>
  </si>
  <si>
    <t>E2C1125897</t>
  </si>
  <si>
    <t>22C0317287</t>
  </si>
  <si>
    <t>G1981127</t>
  </si>
  <si>
    <t>22C0320462</t>
  </si>
  <si>
    <t>E2C1126217</t>
  </si>
  <si>
    <t>22C0317072</t>
  </si>
  <si>
    <t>G1942621</t>
  </si>
  <si>
    <t>E2C1126289</t>
  </si>
  <si>
    <t>22C0317354</t>
  </si>
  <si>
    <t>E2C1126390</t>
  </si>
  <si>
    <t>22C0316627</t>
  </si>
  <si>
    <t>G2109647</t>
  </si>
  <si>
    <t>E2C1126476</t>
  </si>
  <si>
    <t>22C0317558</t>
  </si>
  <si>
    <t>E2C1126467</t>
  </si>
  <si>
    <t>22C0316865</t>
  </si>
  <si>
    <t>AF00037635</t>
  </si>
  <si>
    <t>E2C1126527</t>
  </si>
  <si>
    <t>22C0317104</t>
  </si>
  <si>
    <t>E2C1126505</t>
  </si>
  <si>
    <t>22C0316006</t>
  </si>
  <si>
    <t>E2C1126587</t>
  </si>
  <si>
    <t>22C0315849</t>
  </si>
  <si>
    <t>E2C1126707</t>
  </si>
  <si>
    <t>22C0316577</t>
  </si>
  <si>
    <t>E2C1126744</t>
  </si>
  <si>
    <t>22C0317775</t>
  </si>
  <si>
    <t>E2C1126838</t>
  </si>
  <si>
    <t>22C0317586</t>
  </si>
  <si>
    <t>E2C1126846</t>
  </si>
  <si>
    <t>22C0317105</t>
  </si>
  <si>
    <t>E2C1126851</t>
  </si>
  <si>
    <t>22C0317347</t>
  </si>
  <si>
    <t>E2C1126871</t>
  </si>
  <si>
    <t>22C0317211</t>
  </si>
  <si>
    <t>C620085751</t>
  </si>
  <si>
    <t>E2C1127288</t>
  </si>
  <si>
    <t>22C0317970</t>
  </si>
  <si>
    <t>E2C1127505</t>
  </si>
  <si>
    <t>22C0316933</t>
  </si>
  <si>
    <t>E2C1127497</t>
  </si>
  <si>
    <t>22C0316942</t>
  </si>
  <si>
    <t>E2C1127509</t>
  </si>
  <si>
    <t>22C0316934</t>
  </si>
  <si>
    <t>E2C1127526</t>
  </si>
  <si>
    <t>22C0317061</t>
  </si>
  <si>
    <t>E2C1127537</t>
  </si>
  <si>
    <t>22C0317240</t>
  </si>
  <si>
    <t>E2C1127538</t>
  </si>
  <si>
    <t>22C0316944</t>
  </si>
  <si>
    <t>E2C1127539</t>
  </si>
  <si>
    <t>22C0317237</t>
  </si>
  <si>
    <t>E2C1127567</t>
  </si>
  <si>
    <t>22C0317018</t>
  </si>
  <si>
    <t>E2C1127608</t>
  </si>
  <si>
    <t>22C0317334</t>
  </si>
  <si>
    <t>E2C1127609</t>
  </si>
  <si>
    <t>22C0317333</t>
  </si>
  <si>
    <t>E2C1127611</t>
  </si>
  <si>
    <t>22C0317335</t>
  </si>
  <si>
    <t>E2C1127700</t>
  </si>
  <si>
    <t>22C0317429</t>
  </si>
  <si>
    <t>22C0317164</t>
  </si>
  <si>
    <t>E2C1127773</t>
  </si>
  <si>
    <t>22C0290756</t>
  </si>
  <si>
    <t>E2C1127825</t>
  </si>
  <si>
    <t>22C0317311</t>
  </si>
  <si>
    <t>AF00037750</t>
  </si>
  <si>
    <t>E2C1127921</t>
  </si>
  <si>
    <t>22C0317932</t>
  </si>
  <si>
    <t>E2C1127981</t>
  </si>
  <si>
    <t>22C0317912</t>
  </si>
  <si>
    <t>E2C1127984</t>
  </si>
  <si>
    <t>22C0317474</t>
  </si>
  <si>
    <t>E2C1127993</t>
  </si>
  <si>
    <t>22C0317519</t>
  </si>
  <si>
    <t>E2C1127995</t>
  </si>
  <si>
    <t>22C0317160</t>
  </si>
  <si>
    <t>E2C1128039</t>
  </si>
  <si>
    <t>E2C1128188</t>
  </si>
  <si>
    <t>22C0318092</t>
  </si>
  <si>
    <t>E2C1128351</t>
  </si>
  <si>
    <t>22C0317485</t>
  </si>
  <si>
    <t>E2C1128352</t>
  </si>
  <si>
    <t>22C0317162</t>
  </si>
  <si>
    <t>E2C1128379</t>
  </si>
  <si>
    <t>22C0318025</t>
  </si>
  <si>
    <t>E2C1128390</t>
  </si>
  <si>
    <t>22C0317859</t>
  </si>
  <si>
    <t>E2C1128392</t>
  </si>
  <si>
    <t>22C0317792</t>
  </si>
  <si>
    <t>E2C1128443</t>
  </si>
  <si>
    <t>22C0317769</t>
  </si>
  <si>
    <t>E2C1128469</t>
  </si>
  <si>
    <t>22C0317448</t>
  </si>
  <si>
    <t>E2C1128481</t>
  </si>
  <si>
    <t>22C0318052</t>
  </si>
  <si>
    <t>E2C1128482</t>
  </si>
  <si>
    <t>22C0317058</t>
  </si>
  <si>
    <t>E2C1128483</t>
  </si>
  <si>
    <t>22C0316467</t>
  </si>
  <si>
    <t>E2C1128505</t>
  </si>
  <si>
    <t>22C0317991</t>
  </si>
  <si>
    <t>E2C1128530</t>
  </si>
  <si>
    <t>22C0317773</t>
  </si>
  <si>
    <t>E2C1128531</t>
  </si>
  <si>
    <t>22C0317774</t>
  </si>
  <si>
    <t>E2C1128534</t>
  </si>
  <si>
    <t>22C0317973</t>
  </si>
  <si>
    <t>E2C1128535</t>
  </si>
  <si>
    <t>22C0317974</t>
  </si>
  <si>
    <t>E2C1128704</t>
  </si>
  <si>
    <t>22C0316382</t>
  </si>
  <si>
    <t>E2C1128709</t>
  </si>
  <si>
    <t>22C0316759</t>
  </si>
  <si>
    <t>E2C1128735</t>
  </si>
  <si>
    <t>22C0316758</t>
  </si>
  <si>
    <t>E2C1128758</t>
  </si>
  <si>
    <t>22C0316951</t>
  </si>
  <si>
    <t>E2C1128763</t>
  </si>
  <si>
    <t>22C0317131</t>
  </si>
  <si>
    <t>E2C1128764</t>
  </si>
  <si>
    <t>22C0317132</t>
  </si>
  <si>
    <t>E2C1128770</t>
  </si>
  <si>
    <t>22C0317134</t>
  </si>
  <si>
    <t>E2C1128779</t>
  </si>
  <si>
    <t>22C0318063</t>
  </si>
  <si>
    <t>E2C1128782</t>
  </si>
  <si>
    <t>22C0318064</t>
  </si>
  <si>
    <t>E2C1128768</t>
  </si>
  <si>
    <t>22C0317133</t>
  </si>
  <si>
    <t>E2C1128776</t>
  </si>
  <si>
    <t>22C0317136</t>
  </si>
  <si>
    <t>E2C1128794</t>
  </si>
  <si>
    <t>22C0317130</t>
  </si>
  <si>
    <t>G0581737</t>
  </si>
  <si>
    <t>E2C1128840</t>
  </si>
  <si>
    <t>22C0318176</t>
  </si>
  <si>
    <t>E2C1128849</t>
  </si>
  <si>
    <t>22C0318386</t>
  </si>
  <si>
    <t>E2C1128851</t>
  </si>
  <si>
    <t>22C0317428</t>
  </si>
  <si>
    <t>E2C1128852</t>
  </si>
  <si>
    <t>22C0318388</t>
  </si>
  <si>
    <t>E2C1128866</t>
  </si>
  <si>
    <t>22C0318280</t>
  </si>
  <si>
    <t>G1170615</t>
  </si>
  <si>
    <t>E2C1128861</t>
  </si>
  <si>
    <t>22C0318089</t>
  </si>
  <si>
    <t>42J0203507</t>
  </si>
  <si>
    <t>E2C1128891</t>
  </si>
  <si>
    <t>22C0317487</t>
  </si>
  <si>
    <t>E2C1128910</t>
  </si>
  <si>
    <t>22C0317488</t>
  </si>
  <si>
    <t>E2C1128919</t>
  </si>
  <si>
    <t>22C0317522</t>
  </si>
  <si>
    <t>E2C1128920</t>
  </si>
  <si>
    <t>22C0317515</t>
  </si>
  <si>
    <t>E2C1128941</t>
  </si>
  <si>
    <t>22C0318290</t>
  </si>
  <si>
    <t>E2C1128939</t>
  </si>
  <si>
    <t>22C0318282</t>
  </si>
  <si>
    <t>E2C1128968</t>
  </si>
  <si>
    <t>22C0317937</t>
  </si>
  <si>
    <t>E2C1128970</t>
  </si>
  <si>
    <t>22C0317936</t>
  </si>
  <si>
    <t>E2C1129120</t>
  </si>
  <si>
    <t>22C0317714</t>
  </si>
  <si>
    <t>E2C1129095</t>
  </si>
  <si>
    <t>22C0317649</t>
  </si>
  <si>
    <t>E2C1129133</t>
  </si>
  <si>
    <t>22C0317734</t>
  </si>
  <si>
    <t>E2C1129350</t>
  </si>
  <si>
    <t>22C0318287</t>
  </si>
  <si>
    <t>E2C1129369</t>
  </si>
  <si>
    <t>22C0316579</t>
  </si>
  <si>
    <t>E2C1129371</t>
  </si>
  <si>
    <t>22C0317339</t>
  </si>
  <si>
    <t>E2C1129374</t>
  </si>
  <si>
    <t>22C0316760</t>
  </si>
  <si>
    <t>E2C1129375</t>
  </si>
  <si>
    <t>22C0318167</t>
  </si>
  <si>
    <t>E2C1129379</t>
  </si>
  <si>
    <t>22C0317724</t>
  </si>
  <si>
    <t>E2C1129381</t>
  </si>
  <si>
    <t>22C0317622</t>
  </si>
  <si>
    <t>E2C1129389</t>
  </si>
  <si>
    <t>22C0317324</t>
  </si>
  <si>
    <t>E2C1129399</t>
  </si>
  <si>
    <t>22C0317984</t>
  </si>
  <si>
    <t>E2C1129396</t>
  </si>
  <si>
    <t>22C0317992</t>
  </si>
  <si>
    <t>E2C1129416</t>
  </si>
  <si>
    <t>22C0317455</t>
  </si>
  <si>
    <t>E2C1129411</t>
  </si>
  <si>
    <t>22C0317158</t>
  </si>
  <si>
    <t>E2C1129492</t>
  </si>
  <si>
    <t>22C0318043</t>
  </si>
  <si>
    <t>E2C1129475</t>
  </si>
  <si>
    <t>22C0317561</t>
  </si>
  <si>
    <t>E2C1129480</t>
  </si>
  <si>
    <t>22C0317793</t>
  </si>
  <si>
    <t>E2C1129484</t>
  </si>
  <si>
    <t>22C0317798</t>
  </si>
  <si>
    <t>E2C1129488</t>
  </si>
  <si>
    <t>22C0318040</t>
  </si>
  <si>
    <t>E2C1129491</t>
  </si>
  <si>
    <t>22C0318042</t>
  </si>
  <si>
    <t>E2C1129494</t>
  </si>
  <si>
    <t>22C0318315</t>
  </si>
  <si>
    <t>E2C1129496</t>
  </si>
  <si>
    <t>22C0318316</t>
  </si>
  <si>
    <t>E2C1129501</t>
  </si>
  <si>
    <t>22C0318325</t>
  </si>
  <si>
    <t>E2C1129518</t>
  </si>
  <si>
    <t>22C0318448</t>
  </si>
  <si>
    <t>E2C1129662</t>
  </si>
  <si>
    <t>22C0317690</t>
  </si>
  <si>
    <t>G1632682</t>
  </si>
  <si>
    <t>E2C1129684</t>
  </si>
  <si>
    <t>22C0318154</t>
  </si>
  <si>
    <t>E2C1129862</t>
  </si>
  <si>
    <t>22C0309202</t>
  </si>
  <si>
    <t>E2C1129993</t>
  </si>
  <si>
    <t>22C0317897</t>
  </si>
  <si>
    <t>E2C1129998</t>
  </si>
  <si>
    <t>22C0317898</t>
  </si>
  <si>
    <t>E2C1130007</t>
  </si>
  <si>
    <t>22C0318271</t>
  </si>
  <si>
    <t>E2C1130056</t>
  </si>
  <si>
    <t>22C0318291</t>
  </si>
  <si>
    <t>E2C1130058</t>
  </si>
  <si>
    <t>22C0317829</t>
  </si>
  <si>
    <t>E2C1130118</t>
  </si>
  <si>
    <t>22C0318335</t>
  </si>
  <si>
    <t>E2C1130104</t>
  </si>
  <si>
    <t>22C0318649</t>
  </si>
  <si>
    <t>E2C1130108</t>
  </si>
  <si>
    <t>22C0318662</t>
  </si>
  <si>
    <t>E2C1130112</t>
  </si>
  <si>
    <t>22C0318665</t>
  </si>
  <si>
    <t>E2C1130121</t>
  </si>
  <si>
    <t>22C0318667</t>
  </si>
  <si>
    <t>E2C1130126</t>
  </si>
  <si>
    <t>22C0318668</t>
  </si>
  <si>
    <t>E2C1130130</t>
  </si>
  <si>
    <t>22C0318669</t>
  </si>
  <si>
    <t>E2C1130132</t>
  </si>
  <si>
    <t>22C0318670</t>
  </si>
  <si>
    <t>E2C1130136</t>
  </si>
  <si>
    <t>22C0317669</t>
  </si>
  <si>
    <t>E2C1130139</t>
  </si>
  <si>
    <t>22C0317670</t>
  </si>
  <si>
    <t>E2C1130147</t>
  </si>
  <si>
    <t>22C0318743</t>
  </si>
  <si>
    <t>E2C1130202</t>
  </si>
  <si>
    <t>22C0318300</t>
  </si>
  <si>
    <t>E2C1130216</t>
  </si>
  <si>
    <t>22C0317889</t>
  </si>
  <si>
    <t>E2C1130217</t>
  </si>
  <si>
    <t>22C0317831</t>
  </si>
  <si>
    <t>E2C1130291</t>
  </si>
  <si>
    <t>22C0318078</t>
  </si>
  <si>
    <t>G0218110</t>
  </si>
  <si>
    <t>E2C1130308</t>
  </si>
  <si>
    <t>22C0318567</t>
  </si>
  <si>
    <t>E2C1130363</t>
  </si>
  <si>
    <t>22C0318311</t>
  </si>
  <si>
    <t>E2C1130364</t>
  </si>
  <si>
    <t>22C0318466</t>
  </si>
  <si>
    <t>E2C1130568</t>
  </si>
  <si>
    <t>22C0318237</t>
  </si>
  <si>
    <t>E2C1130546</t>
  </si>
  <si>
    <t>22C0318897</t>
  </si>
  <si>
    <t>E2C1130569</t>
  </si>
  <si>
    <t>22C0318245</t>
  </si>
  <si>
    <t>E2C1130578</t>
  </si>
  <si>
    <t>22C0318248</t>
  </si>
  <si>
    <t>E2C1130845</t>
  </si>
  <si>
    <t>22C0318394</t>
  </si>
  <si>
    <t>E2C1130858</t>
  </si>
  <si>
    <t>22C0318288</t>
  </si>
  <si>
    <t>E2C1130868</t>
  </si>
  <si>
    <t>22C0318296</t>
  </si>
  <si>
    <t>E2C1130915</t>
  </si>
  <si>
    <t>E2C1130924</t>
  </si>
  <si>
    <t>22C0318938</t>
  </si>
  <si>
    <t>E2C1130992</t>
  </si>
  <si>
    <t>22C0318947</t>
  </si>
  <si>
    <t>="Input Control: 967927828ERROR:  No cdf conversion exists in_x000D_        parker_hannifin_ct_logistics_210_PARK210_charge_codes.cdf for GL Code_x000D_        V102 or V102_ORIGIN CHARGES billed on Invoice 22C0318947, Sequential_x000D_        Invoice E2C1130992. Please ver</t>
  </si>
  <si>
    <t>E2C1131009</t>
  </si>
  <si>
    <t>22C0317711</t>
  </si>
  <si>
    <t>E2C1131023</t>
  </si>
  <si>
    <t>22C0318141</t>
  </si>
  <si>
    <t>E2C1131027</t>
  </si>
  <si>
    <t>22C0318410</t>
  </si>
  <si>
    <t>E2C1131028</t>
  </si>
  <si>
    <t>22C0318411</t>
  </si>
  <si>
    <t>E2C1131050</t>
  </si>
  <si>
    <t>22C0318564</t>
  </si>
  <si>
    <t>E2C1131029</t>
  </si>
  <si>
    <t>22C0318416</t>
  </si>
  <si>
    <t>E2C1131052</t>
  </si>
  <si>
    <t>22C0318565</t>
  </si>
  <si>
    <t>E2C1131057</t>
  </si>
  <si>
    <t>22C0318234</t>
  </si>
  <si>
    <t>E2C1131062</t>
  </si>
  <si>
    <t>22C0317422</t>
  </si>
  <si>
    <t>E2C1131067</t>
  </si>
  <si>
    <t>22C0317956</t>
  </si>
  <si>
    <t>E2C1131068</t>
  </si>
  <si>
    <t>22C0317710</t>
  </si>
  <si>
    <t>E2C1131069</t>
  </si>
  <si>
    <t>22C0317712</t>
  </si>
  <si>
    <t>E2C1131230</t>
  </si>
  <si>
    <t>22C0317562</t>
  </si>
  <si>
    <t>E2C1131281</t>
  </si>
  <si>
    <t>22C0318037</t>
  </si>
  <si>
    <t>E2C1131288</t>
  </si>
  <si>
    <t>22C0318327</t>
  </si>
  <si>
    <t>E2C1131267</t>
  </si>
  <si>
    <t>22C0318508</t>
  </si>
  <si>
    <t>AF00037998</t>
  </si>
  <si>
    <t>E2C1131382</t>
  </si>
  <si>
    <t>22C0318459</t>
  </si>
  <si>
    <t>E2C1131394</t>
  </si>
  <si>
    <t>22C0318464</t>
  </si>
  <si>
    <t>E2C1131397</t>
  </si>
  <si>
    <t>22C0318460</t>
  </si>
  <si>
    <t>E2C1131401</t>
  </si>
  <si>
    <t>22C0318465</t>
  </si>
  <si>
    <t>E2C1131403</t>
  </si>
  <si>
    <t>22C0318461</t>
  </si>
  <si>
    <t>E2C1131470</t>
  </si>
  <si>
    <t>22C0318933</t>
  </si>
  <si>
    <t>E2C1131476</t>
  </si>
  <si>
    <t>22C0318934</t>
  </si>
  <si>
    <t>E2C1131494</t>
  </si>
  <si>
    <t>E2C1131503</t>
  </si>
  <si>
    <t>22C0318243</t>
  </si>
  <si>
    <t>E2C1131504</t>
  </si>
  <si>
    <t>22C0319104</t>
  </si>
  <si>
    <t>E2C1131511</t>
  </si>
  <si>
    <t>22C0318664</t>
  </si>
  <si>
    <t>E2C1131566</t>
  </si>
  <si>
    <t>22C0318948</t>
  </si>
  <si>
    <t>E2C1131560</t>
  </si>
  <si>
    <t>22C0318343</t>
  </si>
  <si>
    <t>E2C1131561</t>
  </si>
  <si>
    <t>22C0318345</t>
  </si>
  <si>
    <t>E2C1131587</t>
  </si>
  <si>
    <t>22C0318874</t>
  </si>
  <si>
    <t>E2C1131633</t>
  </si>
  <si>
    <t>22C0317608</t>
  </si>
  <si>
    <t>E2C1131605</t>
  </si>
  <si>
    <t>22C0319267</t>
  </si>
  <si>
    <t>E2C1131662</t>
  </si>
  <si>
    <t>22C0317671</t>
  </si>
  <si>
    <t>E2C1131717</t>
  </si>
  <si>
    <t>22C0318640</t>
  </si>
  <si>
    <t>E2C1131754</t>
  </si>
  <si>
    <t>22C0319509</t>
  </si>
  <si>
    <t>E2C1131756</t>
  </si>
  <si>
    <t>22C0319510</t>
  </si>
  <si>
    <t>E2C1131746</t>
  </si>
  <si>
    <t>22C0317338</t>
  </si>
  <si>
    <t>41Q1042238</t>
  </si>
  <si>
    <t>E2C1135573</t>
  </si>
  <si>
    <t>22C0320374</t>
  </si>
  <si>
    <t>E2C1131913</t>
  </si>
  <si>
    <t>22C0317717</t>
  </si>
  <si>
    <t>E2C1131958</t>
  </si>
  <si>
    <t>22C0319320</t>
  </si>
  <si>
    <t>G0905042</t>
  </si>
  <si>
    <t>E2C1131963</t>
  </si>
  <si>
    <t>22C0318833</t>
  </si>
  <si>
    <t>E2C1131971</t>
  </si>
  <si>
    <t>22C0318186</t>
  </si>
  <si>
    <t>E2C1131983</t>
  </si>
  <si>
    <t>22C0318338</t>
  </si>
  <si>
    <t>E2C1132128</t>
  </si>
  <si>
    <t>22C0318929</t>
  </si>
  <si>
    <t>E2C1132237</t>
  </si>
  <si>
    <t>22C0319070</t>
  </si>
  <si>
    <t>E2C1132250</t>
  </si>
  <si>
    <t>22C0314197</t>
  </si>
  <si>
    <t>E2C1132285</t>
  </si>
  <si>
    <t>22C0318348</t>
  </si>
  <si>
    <t>E2C1132324</t>
  </si>
  <si>
    <t>22C0319372</t>
  </si>
  <si>
    <t>E2C1132316</t>
  </si>
  <si>
    <t>22C0317056</t>
  </si>
  <si>
    <t>E2C1132331</t>
  </si>
  <si>
    <t>22C0318937</t>
  </si>
  <si>
    <t>E2C1132335</t>
  </si>
  <si>
    <t>22C0317501</t>
  </si>
  <si>
    <t>E2C1132339</t>
  </si>
  <si>
    <t>22C0319165</t>
  </si>
  <si>
    <t>G0403770</t>
  </si>
  <si>
    <t>E2C1132388</t>
  </si>
  <si>
    <t>22C0318963</t>
  </si>
  <si>
    <t>E2C1132390</t>
  </si>
  <si>
    <t>22C0318964</t>
  </si>
  <si>
    <t>E2C1132397</t>
  </si>
  <si>
    <t>22C0319414</t>
  </si>
  <si>
    <t>E2C1132401</t>
  </si>
  <si>
    <t>22C0319362</t>
  </si>
  <si>
    <t>E2C1132407</t>
  </si>
  <si>
    <t>22C0319069</t>
  </si>
  <si>
    <t>E2C1132413</t>
  </si>
  <si>
    <t>22C0319416</t>
  </si>
  <si>
    <t>E2C1132415</t>
  </si>
  <si>
    <t>22C0319417</t>
  </si>
  <si>
    <t>E2C1132435</t>
  </si>
  <si>
    <t>22C0318813</t>
  </si>
  <si>
    <t>E2C1132437</t>
  </si>
  <si>
    <t>22C0318815</t>
  </si>
  <si>
    <t>E2C1132439</t>
  </si>
  <si>
    <t>22C0318820</t>
  </si>
  <si>
    <t>E2C1132438</t>
  </si>
  <si>
    <t>22C0318314</t>
  </si>
  <si>
    <t>E2C1132440</t>
  </si>
  <si>
    <t>22C0318808</t>
  </si>
  <si>
    <t>E2C1132443</t>
  </si>
  <si>
    <t>22C0318809</t>
  </si>
  <si>
    <t>E2C1132444</t>
  </si>
  <si>
    <t>22C0318810</t>
  </si>
  <si>
    <t>E2C1132448</t>
  </si>
  <si>
    <t>22C0318819</t>
  </si>
  <si>
    <t>E2C1132458</t>
  </si>
  <si>
    <t>22C0318949</t>
  </si>
  <si>
    <t>E2C1132467</t>
  </si>
  <si>
    <t>22C0318946</t>
  </si>
  <si>
    <t>E2C1132473</t>
  </si>
  <si>
    <t>22C0317500</t>
  </si>
  <si>
    <t>E2C1132470</t>
  </si>
  <si>
    <t>22C0318672</t>
  </si>
  <si>
    <t>E2C1132475</t>
  </si>
  <si>
    <t>22C0318273</t>
  </si>
  <si>
    <t>E2C1132480</t>
  </si>
  <si>
    <t>22C0318399</t>
  </si>
  <si>
    <t>E2C1132481</t>
  </si>
  <si>
    <t>22C0318400</t>
  </si>
  <si>
    <t>E2C1132486</t>
  </si>
  <si>
    <t>22C0319076</t>
  </si>
  <si>
    <t>E2C1132488</t>
  </si>
  <si>
    <t>22C0318675</t>
  </si>
  <si>
    <t>E2C1132489</t>
  </si>
  <si>
    <t>22C0318674</t>
  </si>
  <si>
    <t>E2C1132492</t>
  </si>
  <si>
    <t>22C0318673</t>
  </si>
  <si>
    <t>E2C1132499</t>
  </si>
  <si>
    <t>22C0319378</t>
  </si>
  <si>
    <t>E2C1132531</t>
  </si>
  <si>
    <t>22C0318962</t>
  </si>
  <si>
    <t>E2C1132596</t>
  </si>
  <si>
    <t>22C0318750</t>
  </si>
  <si>
    <t>E2C1132776</t>
  </si>
  <si>
    <t>22C0318856</t>
  </si>
  <si>
    <t>E2C1132751</t>
  </si>
  <si>
    <t>22C0319570</t>
  </si>
  <si>
    <t>E2C1132791</t>
  </si>
  <si>
    <t>22C0319522</t>
  </si>
  <si>
    <t>E2C1133117</t>
  </si>
  <si>
    <t>22C0319327</t>
  </si>
  <si>
    <t>E2C1133083</t>
  </si>
  <si>
    <t>22C0319083</t>
  </si>
  <si>
    <t>="Input Control: 975676776ERROR:  No cdf conversion exists in_x000D_        parker_hannifin_ct_logistics_210_PARK210_charge_codes.cdf for GL Code_x000D_        2102 or 2102_FUEL SURCHARGE billed on Invoice 22C0319083, Sequential_x000D_        Invoice E2C1133083. Please ver</t>
  </si>
  <si>
    <t>E2C1133087</t>
  </si>
  <si>
    <t>22C0317602</t>
  </si>
  <si>
    <t>E2C1133088</t>
  </si>
  <si>
    <t>22C0317630</t>
  </si>
  <si>
    <t>E2C1133112</t>
  </si>
  <si>
    <t>22C0319321</t>
  </si>
  <si>
    <t>E2C1133113</t>
  </si>
  <si>
    <t>22C0319322</t>
  </si>
  <si>
    <t>E2C1133116</t>
  </si>
  <si>
    <t>22C0319326</t>
  </si>
  <si>
    <t>E2C1133199</t>
  </si>
  <si>
    <t>22C0319237</t>
  </si>
  <si>
    <t>="Input Control: 975677305ERROR:  No cdf conversion exists in_x000D_        parker_hannifin_ct_logistics_210_PARK210_charge_codes.cdf for GL Code_x000D_        2102 or 2102_FUEL SURCHARGE billed on Invoice 22C0319237, Sequential_x000D_        Invoice E2C1133199. Please ver</t>
  </si>
  <si>
    <t>E2C1133230</t>
  </si>
  <si>
    <t>22C0319035</t>
  </si>
  <si>
    <t>E2C1133228</t>
  </si>
  <si>
    <t>22C0319523</t>
  </si>
  <si>
    <t>E2C1133323</t>
  </si>
  <si>
    <t>22C0319533</t>
  </si>
  <si>
    <t>E2C1133325</t>
  </si>
  <si>
    <t>22C0319300</t>
  </si>
  <si>
    <t>E2C1133326</t>
  </si>
  <si>
    <t>22C0319324</t>
  </si>
  <si>
    <t>E2C1133330</t>
  </si>
  <si>
    <t>22C0319325</t>
  </si>
  <si>
    <t>E2C1133367</t>
  </si>
  <si>
    <t>22C0317285</t>
  </si>
  <si>
    <t>E2C1133394</t>
  </si>
  <si>
    <t>22C0317289</t>
  </si>
  <si>
    <t>E2C1133441</t>
  </si>
  <si>
    <t>22C0318722</t>
  </si>
  <si>
    <t>E2C1133499</t>
  </si>
  <si>
    <t>22C0319390</t>
  </si>
  <si>
    <t>E2C1133516</t>
  </si>
  <si>
    <t>22C0319392</t>
  </si>
  <si>
    <t>E2C1133533</t>
  </si>
  <si>
    <t>22C0318471</t>
  </si>
  <si>
    <t>E2C1133593</t>
  </si>
  <si>
    <t>22C0319257</t>
  </si>
  <si>
    <t>E2C1133599</t>
  </si>
  <si>
    <t>22C0319256</t>
  </si>
  <si>
    <t>E2C1133603</t>
  </si>
  <si>
    <t>22C0319577</t>
  </si>
  <si>
    <t>E2C1133622</t>
  </si>
  <si>
    <t>22C0319582</t>
  </si>
  <si>
    <t>E2C1133607</t>
  </si>
  <si>
    <t>22C0319580</t>
  </si>
  <si>
    <t>E2C1133610</t>
  </si>
  <si>
    <t>22C0319579</t>
  </si>
  <si>
    <t>E2C1133614</t>
  </si>
  <si>
    <t>22C0319581</t>
  </si>
  <si>
    <t>E2C1133626</t>
  </si>
  <si>
    <t>22C0319263</t>
  </si>
  <si>
    <t>E2C1133654</t>
  </si>
  <si>
    <t>22C0319216</t>
  </si>
  <si>
    <t>E2C1133735</t>
  </si>
  <si>
    <t>22C0319656</t>
  </si>
  <si>
    <t>E2C1133775</t>
  </si>
  <si>
    <t>22C0319666</t>
  </si>
  <si>
    <t>E2C1133801</t>
  </si>
  <si>
    <t>22C0317855</t>
  </si>
  <si>
    <t>E2C1133808</t>
  </si>
  <si>
    <t>22C0319667</t>
  </si>
  <si>
    <t>E2C1133824</t>
  </si>
  <si>
    <t>E2C1133837</t>
  </si>
  <si>
    <t>22C0319728</t>
  </si>
  <si>
    <t>E2C1133941</t>
  </si>
  <si>
    <t>22C0319068</t>
  </si>
  <si>
    <t>E2C1133948</t>
  </si>
  <si>
    <t>22C0319192</t>
  </si>
  <si>
    <t>E2C1134004</t>
  </si>
  <si>
    <t>22C0319663</t>
  </si>
  <si>
    <t>E2C1134006</t>
  </si>
  <si>
    <t>22C0319668</t>
  </si>
  <si>
    <t>E2C1134165</t>
  </si>
  <si>
    <t>22C0306056</t>
  </si>
  <si>
    <t>E2C1134167</t>
  </si>
  <si>
    <t>E2C1134185</t>
  </si>
  <si>
    <t>22C0317014</t>
  </si>
  <si>
    <t>E2C1134188</t>
  </si>
  <si>
    <t>22C0319637</t>
  </si>
  <si>
    <t>E2C1134192</t>
  </si>
  <si>
    <t>22C0319638</t>
  </si>
  <si>
    <t>E2C1134194</t>
  </si>
  <si>
    <t>22C0319708</t>
  </si>
  <si>
    <t>E2C1134290</t>
  </si>
  <si>
    <t>22C0319850</t>
  </si>
  <si>
    <t>E2C1134266</t>
  </si>
  <si>
    <t>22C0319622</t>
  </si>
  <si>
    <t>E2C1134317</t>
  </si>
  <si>
    <t>22C0319606</t>
  </si>
  <si>
    <t>E2C1134324</t>
  </si>
  <si>
    <t>22C0319748</t>
  </si>
  <si>
    <t>E2C1134365</t>
  </si>
  <si>
    <t>22C0319127</t>
  </si>
  <si>
    <t>AF00038100</t>
  </si>
  <si>
    <t>E2C1134399</t>
  </si>
  <si>
    <t>22C0318628</t>
  </si>
  <si>
    <t>E2C1134414</t>
  </si>
  <si>
    <t>22C0319128</t>
  </si>
  <si>
    <t>AF00038101</t>
  </si>
  <si>
    <t>E2C1134459</t>
  </si>
  <si>
    <t>22C0318995</t>
  </si>
  <si>
    <t>E2C1134562</t>
  </si>
  <si>
    <t>22C0319837</t>
  </si>
  <si>
    <t>E2C1134559</t>
  </si>
  <si>
    <t>22C0319398</t>
  </si>
  <si>
    <t>42J0204032</t>
  </si>
  <si>
    <t>E2C1134604</t>
  </si>
  <si>
    <t>22C0319669</t>
  </si>
  <si>
    <t>E2C1134639</t>
  </si>
  <si>
    <t>22C0319671</t>
  </si>
  <si>
    <t>E2C1134644</t>
  </si>
  <si>
    <t>22C0319672</t>
  </si>
  <si>
    <t>E2C1134694</t>
  </si>
  <si>
    <t>22C0319838</t>
  </si>
  <si>
    <t>E2C1134700</t>
  </si>
  <si>
    <t>22C0319839</t>
  </si>
  <si>
    <t>E2C1134712</t>
  </si>
  <si>
    <t>22C0319830</t>
  </si>
  <si>
    <t>E2C1134740</t>
  </si>
  <si>
    <t>22C0319115</t>
  </si>
  <si>
    <t>E2C1134810</t>
  </si>
  <si>
    <t>22C0320113</t>
  </si>
  <si>
    <t>E2C1134814</t>
  </si>
  <si>
    <t>22C0319468</t>
  </si>
  <si>
    <t>E2C1134838</t>
  </si>
  <si>
    <t>22C0319632</t>
  </si>
  <si>
    <t>E2C1134837</t>
  </si>
  <si>
    <t>22C0319635</t>
  </si>
  <si>
    <t>E2C1134833</t>
  </si>
  <si>
    <t>22C0319686</t>
  </si>
  <si>
    <t>E2C1134828</t>
  </si>
  <si>
    <t>22C0319829</t>
  </si>
  <si>
    <t>E2C1134841</t>
  </si>
  <si>
    <t>22C0319840</t>
  </si>
  <si>
    <t>E2C1135015</t>
  </si>
  <si>
    <t>22C0319096</t>
  </si>
  <si>
    <t>E2C1135030</t>
  </si>
  <si>
    <t>22C0320035</t>
  </si>
  <si>
    <t>E2C1135119</t>
  </si>
  <si>
    <t>22C0320068</t>
  </si>
  <si>
    <t>E2C1135120</t>
  </si>
  <si>
    <t>22C0319892</t>
  </si>
  <si>
    <t>E2C1135125</t>
  </si>
  <si>
    <t>22C0319506</t>
  </si>
  <si>
    <t>E2C1135128</t>
  </si>
  <si>
    <t>22C0319990</t>
  </si>
  <si>
    <t>E2C1135130</t>
  </si>
  <si>
    <t>22C0319991</t>
  </si>
  <si>
    <t>E2C1135133</t>
  </si>
  <si>
    <t>22C0319502</t>
  </si>
  <si>
    <t>E2C1135134</t>
  </si>
  <si>
    <t>22C0319995</t>
  </si>
  <si>
    <t>E2C1135135</t>
  </si>
  <si>
    <t>22C0319996</t>
  </si>
  <si>
    <t>E2C1135136</t>
  </si>
  <si>
    <t>22C0319736</t>
  </si>
  <si>
    <t>E2C1135138</t>
  </si>
  <si>
    <t>22C0320011</t>
  </si>
  <si>
    <t>E2C1135139</t>
  </si>
  <si>
    <t>22C0320012</t>
  </si>
  <si>
    <t>E2C1135229</t>
  </si>
  <si>
    <t>22C0319689</t>
  </si>
  <si>
    <t>E2C1135232</t>
  </si>
  <si>
    <t>22C0320287</t>
  </si>
  <si>
    <t>E2C1135233</t>
  </si>
  <si>
    <t>22C0320285</t>
  </si>
  <si>
    <t>E2C1135234</t>
  </si>
  <si>
    <t>22C0320286</t>
  </si>
  <si>
    <t>E2C1135237</t>
  </si>
  <si>
    <t>22C0320288</t>
  </si>
  <si>
    <t>E2C1135239</t>
  </si>
  <si>
    <t>22C0320300</t>
  </si>
  <si>
    <t>E2C1135248</t>
  </si>
  <si>
    <t>22C0320328</t>
  </si>
  <si>
    <t>E2C1135265</t>
  </si>
  <si>
    <t>22C0319874</t>
  </si>
  <si>
    <t>G0329834</t>
  </si>
  <si>
    <t>E2C1135271</t>
  </si>
  <si>
    <t>22C0320348</t>
  </si>
  <si>
    <t>G0627846</t>
  </si>
  <si>
    <t>E2C1135272</t>
  </si>
  <si>
    <t>22C0320350</t>
  </si>
  <si>
    <t>E2C1135273</t>
  </si>
  <si>
    <t>22C0319806</t>
  </si>
  <si>
    <t>E2C1135276</t>
  </si>
  <si>
    <t>22C0320314</t>
  </si>
  <si>
    <t>E2C1135309</t>
  </si>
  <si>
    <t>22C0319938</t>
  </si>
  <si>
    <t>E2C1135300</t>
  </si>
  <si>
    <t>22C0320293</t>
  </si>
  <si>
    <t>E2C1135302</t>
  </si>
  <si>
    <t>22C0320294</t>
  </si>
  <si>
    <t>E2C1135326</t>
  </si>
  <si>
    <t>22C0319489</t>
  </si>
  <si>
    <t>E2C1135343</t>
  </si>
  <si>
    <t>22C0319437</t>
  </si>
  <si>
    <t>E2C1135355</t>
  </si>
  <si>
    <t>22C0319585</t>
  </si>
  <si>
    <t>E2C1135366</t>
  </si>
  <si>
    <t>22C0320279</t>
  </si>
  <si>
    <t>E2C1135368</t>
  </si>
  <si>
    <t>22C0320280</t>
  </si>
  <si>
    <t>E2C1135372</t>
  </si>
  <si>
    <t>22C0318851</t>
  </si>
  <si>
    <t>E2C1135378</t>
  </si>
  <si>
    <t>22C0320271</t>
  </si>
  <si>
    <t>E2C1135384</t>
  </si>
  <si>
    <t>22C0319337</t>
  </si>
  <si>
    <t>G1777837</t>
  </si>
  <si>
    <t>E2C1135370</t>
  </si>
  <si>
    <t>22C0320282</t>
  </si>
  <si>
    <t>E2C1135426</t>
  </si>
  <si>
    <t>22C0318839</t>
  </si>
  <si>
    <t>E2C1135430</t>
  </si>
  <si>
    <t>22C0319167</t>
  </si>
  <si>
    <t>22C0320338</t>
  </si>
  <si>
    <t>E2C1135508</t>
  </si>
  <si>
    <t>22C0320301</t>
  </si>
  <si>
    <t>E2C1135499</t>
  </si>
  <si>
    <t>E2C1135523</t>
  </si>
  <si>
    <t>22C0318852</t>
  </si>
  <si>
    <t>G1034844</t>
  </si>
  <si>
    <t>E2C1135683</t>
  </si>
  <si>
    <t>22C0319740</t>
  </si>
  <si>
    <t>E2C1135712</t>
  </si>
  <si>
    <t>22C0320378</t>
  </si>
  <si>
    <t>G2423392</t>
  </si>
  <si>
    <t>E2C1135864</t>
  </si>
  <si>
    <t>22C0319810</t>
  </si>
  <si>
    <t>E2C1135881</t>
  </si>
  <si>
    <t>22C0320047</t>
  </si>
  <si>
    <t>G1894113</t>
  </si>
  <si>
    <t>E2C1135924</t>
  </si>
  <si>
    <t>22C0320497</t>
  </si>
  <si>
    <t>E2C1135929</t>
  </si>
  <si>
    <t>22C0319969</t>
  </si>
  <si>
    <t>E2C1135931</t>
  </si>
  <si>
    <t>22C0319493</t>
  </si>
  <si>
    <t>G2429835</t>
  </si>
  <si>
    <t>E2C1135938</t>
  </si>
  <si>
    <t>22C0320153</t>
  </si>
  <si>
    <t>G1810079</t>
  </si>
  <si>
    <t>E2C1135940</t>
  </si>
  <si>
    <t>22C0319985</t>
  </si>
  <si>
    <t>E2C1135944</t>
  </si>
  <si>
    <t>22C0320435</t>
  </si>
  <si>
    <t>E2C1135963</t>
  </si>
  <si>
    <t>22C0320331</t>
  </si>
  <si>
    <t>E2C1135971</t>
  </si>
  <si>
    <t>22C0320315</t>
  </si>
  <si>
    <t>E2C1135975</t>
  </si>
  <si>
    <t>22C0320302</t>
  </si>
  <si>
    <t>E2C1135995</t>
  </si>
  <si>
    <t>22C0318447</t>
  </si>
  <si>
    <t>E2C1135993</t>
  </si>
  <si>
    <t>22C0320375</t>
  </si>
  <si>
    <t>E2C1135999</t>
  </si>
  <si>
    <t>22C0316948</t>
  </si>
  <si>
    <t>E2C1136002</t>
  </si>
  <si>
    <t>22C0317967</t>
  </si>
  <si>
    <t>E2C1136085</t>
  </si>
  <si>
    <t>22C0318239</t>
  </si>
  <si>
    <t>E2C1136092</t>
  </si>
  <si>
    <t>22C0320542</t>
  </si>
  <si>
    <t>42J0204637</t>
  </si>
  <si>
    <t>E2C1136098</t>
  </si>
  <si>
    <t>22C0320319</t>
  </si>
  <si>
    <t>E2C1136105</t>
  </si>
  <si>
    <t>E2C1136097</t>
  </si>
  <si>
    <t>22C0320488</t>
  </si>
  <si>
    <t>G2427926</t>
  </si>
  <si>
    <t>E2C1136093</t>
  </si>
  <si>
    <t>22C0320042</t>
  </si>
  <si>
    <t>E2C1136176</t>
  </si>
  <si>
    <t>22C0320291</t>
  </si>
  <si>
    <t>E2C1136177</t>
  </si>
  <si>
    <t>E2C1136178</t>
  </si>
  <si>
    <t>22C0320487</t>
  </si>
  <si>
    <t>E2C1136256</t>
  </si>
  <si>
    <t>22C0316012</t>
  </si>
  <si>
    <t>E2C1136255</t>
  </si>
  <si>
    <t>22C0320597</t>
  </si>
  <si>
    <t>E2C1136231</t>
  </si>
  <si>
    <t>22C0320557</t>
  </si>
  <si>
    <t>G1028177</t>
  </si>
  <si>
    <t>E2C1136426</t>
  </si>
  <si>
    <t>22C0320667</t>
  </si>
  <si>
    <t>G1663589</t>
  </si>
  <si>
    <t>E2C1136451</t>
  </si>
  <si>
    <t>22C0320726</t>
  </si>
  <si>
    <t>E2C1136454</t>
  </si>
  <si>
    <t>22C0320622</t>
  </si>
  <si>
    <t>E2C1136453</t>
  </si>
  <si>
    <t>22C0320729</t>
  </si>
  <si>
    <t>E2C1136477</t>
  </si>
  <si>
    <t>22C0320689</t>
  </si>
  <si>
    <t>G0668299</t>
  </si>
  <si>
    <t>E2C1136482</t>
  </si>
  <si>
    <t>22C0320687</t>
  </si>
  <si>
    <t>E2C1136483</t>
  </si>
  <si>
    <t>22C0320109</t>
  </si>
  <si>
    <t>E2C1136487</t>
  </si>
  <si>
    <t>22C0320661</t>
  </si>
  <si>
    <t>E2C1136488</t>
  </si>
  <si>
    <t>E2C1136496</t>
  </si>
  <si>
    <t>22C0320742</t>
  </si>
  <si>
    <t>G0871484</t>
  </si>
  <si>
    <t>E2C1136500</t>
  </si>
  <si>
    <t>22C0319466</t>
  </si>
  <si>
    <t>G2189385</t>
  </si>
  <si>
    <t>E2C1136509</t>
  </si>
  <si>
    <t>22C0320730</t>
  </si>
  <si>
    <t>E2C1136520</t>
  </si>
  <si>
    <t>22C0320211</t>
  </si>
  <si>
    <t>AF00038346</t>
  </si>
  <si>
    <t>E2C1136536</t>
  </si>
  <si>
    <t>22C0320135</t>
  </si>
  <si>
    <t>G0822962</t>
  </si>
  <si>
    <t>E2C1136606</t>
  </si>
  <si>
    <t>22C0320728</t>
  </si>
  <si>
    <t>G1966907</t>
  </si>
  <si>
    <t>E2C1136605</t>
  </si>
  <si>
    <t>22C0320727</t>
  </si>
  <si>
    <t>G0645958</t>
  </si>
  <si>
    <t>E2C1136812</t>
  </si>
  <si>
    <t>22C0320740</t>
  </si>
  <si>
    <t>E2C1136814</t>
  </si>
  <si>
    <t>22C0320739</t>
  </si>
  <si>
    <t>G2340610</t>
  </si>
  <si>
    <t>E2C1136813</t>
  </si>
  <si>
    <t>22C0320681</t>
  </si>
  <si>
    <t>G0606463</t>
  </si>
  <si>
    <t>E2C1136902</t>
  </si>
  <si>
    <t>22C0320785</t>
  </si>
  <si>
    <t>E2C1136906</t>
  </si>
  <si>
    <t>22C0320825</t>
  </si>
  <si>
    <t>E2C1137047</t>
  </si>
  <si>
    <t>22C0320558</t>
  </si>
  <si>
    <t>G1838230</t>
  </si>
  <si>
    <t>E2C1137192</t>
  </si>
  <si>
    <t>22C0320732</t>
  </si>
  <si>
    <t>G0329445</t>
  </si>
  <si>
    <t>E2C1137300</t>
  </si>
  <si>
    <t>22C0320777</t>
  </si>
  <si>
    <t>E2C1137301</t>
  </si>
  <si>
    <t>22C0320244</t>
  </si>
  <si>
    <t>E2C1137307</t>
  </si>
  <si>
    <t>22C0320252</t>
  </si>
  <si>
    <t>G1725001</t>
  </si>
  <si>
    <t>E2C1137303</t>
  </si>
  <si>
    <t>22C0320731</t>
  </si>
  <si>
    <t>G1751033</t>
  </si>
  <si>
    <t>E2C1137322</t>
  </si>
  <si>
    <t>22C0320690</t>
  </si>
  <si>
    <t>E2C1137345</t>
  </si>
  <si>
    <t>22C0320673</t>
  </si>
  <si>
    <t>E2C1137349</t>
  </si>
  <si>
    <t>22C0320765</t>
  </si>
  <si>
    <t>G0299387</t>
  </si>
  <si>
    <t>E2C1137472</t>
  </si>
  <si>
    <t>22C0320916</t>
  </si>
  <si>
    <t>G0721330</t>
  </si>
  <si>
    <t>E2C1137475</t>
  </si>
  <si>
    <t>22C0320954</t>
  </si>
  <si>
    <t>E2C1137473</t>
  </si>
  <si>
    <t>22C0320949</t>
  </si>
  <si>
    <t>E2C1137521</t>
  </si>
  <si>
    <t>22C0321144</t>
  </si>
  <si>
    <t>E2C1137489</t>
  </si>
  <si>
    <t>22C0320598</t>
  </si>
  <si>
    <t>E2C1137507</t>
  </si>
  <si>
    <t>22C0321068</t>
  </si>
  <si>
    <t>E2C1137491</t>
  </si>
  <si>
    <t>22C0321115</t>
  </si>
  <si>
    <t>G0591334</t>
  </si>
  <si>
    <t>E2C1137510</t>
  </si>
  <si>
    <t>22C0321069</t>
  </si>
  <si>
    <t>E2C1137488</t>
  </si>
  <si>
    <t>22C0321102</t>
  </si>
  <si>
    <t>G1673443</t>
  </si>
  <si>
    <t>E2C1137518</t>
  </si>
  <si>
    <t>22C0321114</t>
  </si>
  <si>
    <t>E2C1137487</t>
  </si>
  <si>
    <t>22C0321053</t>
  </si>
  <si>
    <t>E2C1137490</t>
  </si>
  <si>
    <t>22C0320752</t>
  </si>
  <si>
    <t>G2314884</t>
  </si>
  <si>
    <t>E2C1137517</t>
  </si>
  <si>
    <t>22C0321106</t>
  </si>
  <si>
    <t>42J0204672</t>
  </si>
  <si>
    <t>E2C1137564</t>
  </si>
  <si>
    <t>22C0320938</t>
  </si>
  <si>
    <t>E2C1137607</t>
  </si>
  <si>
    <t>22C0320971</t>
  </si>
  <si>
    <t>22C0320394</t>
  </si>
  <si>
    <t>E2C1137632</t>
  </si>
  <si>
    <t>E2C1137634</t>
  </si>
  <si>
    <t>22C0320816</t>
  </si>
  <si>
    <t>E2C1137636</t>
  </si>
  <si>
    <t>22C0320817</t>
  </si>
  <si>
    <t>E2C1137654</t>
  </si>
  <si>
    <t>22C0320292</t>
  </si>
  <si>
    <t>E2C1137675</t>
  </si>
  <si>
    <t>22C0321100</t>
  </si>
  <si>
    <t>E2C1137678</t>
  </si>
  <si>
    <t>22C0320044</t>
  </si>
  <si>
    <t>E2C1137679</t>
  </si>
  <si>
    <t>22C0320046</t>
  </si>
  <si>
    <t>E2C1137680</t>
  </si>
  <si>
    <t>22C0319853</t>
  </si>
  <si>
    <t>E2C1137681</t>
  </si>
  <si>
    <t>22C0319854</t>
  </si>
  <si>
    <t>E2C1137684</t>
  </si>
  <si>
    <t>22C0319861</t>
  </si>
  <si>
    <t>E2C1137687</t>
  </si>
  <si>
    <t>22C0320184</t>
  </si>
  <si>
    <t>E2C1137692</t>
  </si>
  <si>
    <t>22C0320457</t>
  </si>
  <si>
    <t>E2C1137693</t>
  </si>
  <si>
    <t>22C0320459</t>
  </si>
  <si>
    <t>E2C1137694</t>
  </si>
  <si>
    <t>22C0320269</t>
  </si>
  <si>
    <t>E2C1137697</t>
  </si>
  <si>
    <t>22C0320568</t>
  </si>
  <si>
    <t>E2C1137699</t>
  </si>
  <si>
    <t>22C0320702</t>
  </si>
  <si>
    <t>E2C1137698</t>
  </si>
  <si>
    <t>22C0320570</t>
  </si>
  <si>
    <t>E2C1137701</t>
  </si>
  <si>
    <t>22C0320043</t>
  </si>
  <si>
    <t>E2C1137702</t>
  </si>
  <si>
    <t>22C0320006</t>
  </si>
  <si>
    <t>E2C1137704</t>
  </si>
  <si>
    <t>22C0320045</t>
  </si>
  <si>
    <t>E2C1137708</t>
  </si>
  <si>
    <t>22C0319855</t>
  </si>
  <si>
    <t>E2C1137714</t>
  </si>
  <si>
    <t>22C0320182</t>
  </si>
  <si>
    <t>E2C1137705</t>
  </si>
  <si>
    <t>22C0319825</t>
  </si>
  <si>
    <t>E2C1137716</t>
  </si>
  <si>
    <t>22C0320183</t>
  </si>
  <si>
    <t>E2C1137720</t>
  </si>
  <si>
    <t>22C0320186</t>
  </si>
  <si>
    <t>E2C1137721</t>
  </si>
  <si>
    <t>22C0320187</t>
  </si>
  <si>
    <t>E2C1137724</t>
  </si>
  <si>
    <t>22C0320189</t>
  </si>
  <si>
    <t>E2C1137727</t>
  </si>
  <si>
    <t>22C0320460</t>
  </si>
  <si>
    <t>E2C1137730</t>
  </si>
  <si>
    <t>22C0320696</t>
  </si>
  <si>
    <t>E2C1137732</t>
  </si>
  <si>
    <t>22C0320699</t>
  </si>
  <si>
    <t>E2C1137735</t>
  </si>
  <si>
    <t>22C0320701</t>
  </si>
  <si>
    <t>E2C1137736</t>
  </si>
  <si>
    <t>22C0319851</t>
  </si>
  <si>
    <t>E2C1137737</t>
  </si>
  <si>
    <t>22C0319860</t>
  </si>
  <si>
    <t>E2C1137717</t>
  </si>
  <si>
    <t>22C0320360</t>
  </si>
  <si>
    <t>G1726507</t>
  </si>
  <si>
    <t>E2C1137729</t>
  </si>
  <si>
    <t>22C0320990</t>
  </si>
  <si>
    <t>G2068590</t>
  </si>
  <si>
    <t>E2C1137728</t>
  </si>
  <si>
    <t>22C0320947</t>
  </si>
  <si>
    <t>E2C1137740</t>
  </si>
  <si>
    <t>22C0320600</t>
  </si>
  <si>
    <t>G1163192</t>
  </si>
  <si>
    <t>E2C1137749</t>
  </si>
  <si>
    <t>22C0320240</t>
  </si>
  <si>
    <t>E2C1137756</t>
  </si>
  <si>
    <t>22C0320713</t>
  </si>
  <si>
    <t>42L0068250</t>
  </si>
  <si>
    <t>E2C1137768</t>
  </si>
  <si>
    <t>22C0319828</t>
  </si>
  <si>
    <t>E2C1137827</t>
  </si>
  <si>
    <t>22C0320283</t>
  </si>
  <si>
    <t>41A0078485</t>
  </si>
  <si>
    <t>E2C1137829</t>
  </si>
  <si>
    <t>22C0320479</t>
  </si>
  <si>
    <t>E2C1137857</t>
  </si>
  <si>
    <t>22C0319993</t>
  </si>
  <si>
    <t>E2C1137858</t>
  </si>
  <si>
    <t>22C0320744</t>
  </si>
  <si>
    <t>E2C1137859</t>
  </si>
  <si>
    <t>22C0320616</t>
  </si>
  <si>
    <t>AF00038439</t>
  </si>
  <si>
    <t>E2C1137865</t>
  </si>
  <si>
    <t>22C0320617</t>
  </si>
  <si>
    <t>AF00038533</t>
  </si>
  <si>
    <t>E2C1137874</t>
  </si>
  <si>
    <t>22C0320618</t>
  </si>
  <si>
    <t>AF00038534</t>
  </si>
  <si>
    <t>E2C1137882</t>
  </si>
  <si>
    <t>22C0321049</t>
  </si>
  <si>
    <t>E2C1137892</t>
  </si>
  <si>
    <t>22C0320669</t>
  </si>
  <si>
    <t>E2C1137884</t>
  </si>
  <si>
    <t>22C0320763</t>
  </si>
  <si>
    <t>E2C1137886</t>
  </si>
  <si>
    <t>22C0320633</t>
  </si>
  <si>
    <t>E2C1138004</t>
  </si>
  <si>
    <t>22C0321041</t>
  </si>
  <si>
    <t>G0918296</t>
  </si>
  <si>
    <t>E2C1137984</t>
  </si>
  <si>
    <t>22C0321181</t>
  </si>
  <si>
    <t>E2C1137986</t>
  </si>
  <si>
    <t>22C0321217</t>
  </si>
  <si>
    <t>G2437425</t>
  </si>
  <si>
    <t>E2C1137989</t>
  </si>
  <si>
    <t>22C0321221</t>
  </si>
  <si>
    <t>E2C1137990</t>
  </si>
  <si>
    <t>22C0321222</t>
  </si>
  <si>
    <t>G0612392</t>
  </si>
  <si>
    <t>E2C1137993</t>
  </si>
  <si>
    <t>22C0321183</t>
  </si>
  <si>
    <t>E2C1137991</t>
  </si>
  <si>
    <t>22C0321223</t>
  </si>
  <si>
    <t>E2C1138001</t>
  </si>
  <si>
    <t>22C0321040</t>
  </si>
  <si>
    <t>G2232493</t>
  </si>
  <si>
    <t>E2C1137999</t>
  </si>
  <si>
    <t>22C0321126</t>
  </si>
  <si>
    <t>E2C1138009</t>
  </si>
  <si>
    <t>22C0320745</t>
  </si>
  <si>
    <t>G1883837</t>
  </si>
  <si>
    <t>E2C1138055</t>
  </si>
  <si>
    <t>22C0321042</t>
  </si>
  <si>
    <t>G2407232</t>
  </si>
  <si>
    <t>E2C1138056</t>
  </si>
  <si>
    <t>22C0320719</t>
  </si>
  <si>
    <t>E2C1138058</t>
  </si>
  <si>
    <t>22C0320595</t>
  </si>
  <si>
    <t>E2C1138103</t>
  </si>
  <si>
    <t>22C0321143</t>
  </si>
  <si>
    <t>E2C1138104</t>
  </si>
  <si>
    <t>22C0320809</t>
  </si>
  <si>
    <t>E2C1138093</t>
  </si>
  <si>
    <t>22C0321024</t>
  </si>
  <si>
    <t>E2C1138077</t>
  </si>
  <si>
    <t>22C0321150</t>
  </si>
  <si>
    <t>E2C1138109</t>
  </si>
  <si>
    <t>22C0321064</t>
  </si>
  <si>
    <t>E2C1138123</t>
  </si>
  <si>
    <t>22C0321141</t>
  </si>
  <si>
    <t>E2C1138124</t>
  </si>
  <si>
    <t>22C0321026</t>
  </si>
  <si>
    <t>G1714153</t>
  </si>
  <si>
    <t>E2C1138194</t>
  </si>
  <si>
    <t>22C0320129</t>
  </si>
  <si>
    <t>G2436128</t>
  </si>
  <si>
    <t>E2C1138226</t>
  </si>
  <si>
    <t>22C0321065</t>
  </si>
  <si>
    <t>G2108852</t>
  </si>
  <si>
    <t>E2C1138309</t>
  </si>
  <si>
    <t>22C0320823</t>
  </si>
  <si>
    <t>E2C1138310</t>
  </si>
  <si>
    <t>22C0320824</t>
  </si>
  <si>
    <t>E2C1138326</t>
  </si>
  <si>
    <t>22C0320999</t>
  </si>
  <si>
    <t>E2C1138348</t>
  </si>
  <si>
    <t>22C0320703</t>
  </si>
  <si>
    <t>G0438632</t>
  </si>
  <si>
    <t>E2C1138565</t>
  </si>
  <si>
    <t>22C0321278</t>
  </si>
  <si>
    <t>E2C1138564</t>
  </si>
  <si>
    <t>22C0321343</t>
  </si>
  <si>
    <t>G0530789</t>
  </si>
  <si>
    <t>E2C1138575</t>
  </si>
  <si>
    <t>22C0321291</t>
  </si>
  <si>
    <t>E2C1138571</t>
  </si>
  <si>
    <t>22C0321316</t>
  </si>
  <si>
    <t>G1977418</t>
  </si>
  <si>
    <t>E2C1138592</t>
  </si>
  <si>
    <t>22C0321119</t>
  </si>
  <si>
    <t>G2279989</t>
  </si>
  <si>
    <t>E2C1138593</t>
  </si>
  <si>
    <t>22C0321283</t>
  </si>
  <si>
    <t>G0333031</t>
  </si>
  <si>
    <t>E2C1138596</t>
  </si>
  <si>
    <t>22C0320723</t>
  </si>
  <si>
    <t>G0853675</t>
  </si>
  <si>
    <t>E2C1138597</t>
  </si>
  <si>
    <t>22C0320983</t>
  </si>
  <si>
    <t>E2C1138599</t>
  </si>
  <si>
    <t>22C0320724</t>
  </si>
  <si>
    <t>G0795773</t>
  </si>
  <si>
    <t>E2C1138600</t>
  </si>
  <si>
    <t>22C0321306</t>
  </si>
  <si>
    <t>G0950020</t>
  </si>
  <si>
    <t>E2C1138598</t>
  </si>
  <si>
    <t>22C0321339</t>
  </si>
  <si>
    <t>G2430177</t>
  </si>
  <si>
    <t>E2C1138601</t>
  </si>
  <si>
    <t>22C0321335</t>
  </si>
  <si>
    <t>G1109020</t>
  </si>
  <si>
    <t>E2C1138602</t>
  </si>
  <si>
    <t>22C0320709</t>
  </si>
  <si>
    <t>G0884860</t>
  </si>
  <si>
    <t>E2C1138624</t>
  </si>
  <si>
    <t>22C0319777</t>
  </si>
  <si>
    <t>E2C1138790</t>
  </si>
  <si>
    <t>22C0320591</t>
  </si>
  <si>
    <t>43Z1052247</t>
  </si>
  <si>
    <t>E2C1138817</t>
  </si>
  <si>
    <t>22C0320806</t>
  </si>
  <si>
    <t>E2C1138818</t>
  </si>
  <si>
    <t>22C0320920</t>
  </si>
  <si>
    <t>E2C1138820</t>
  </si>
  <si>
    <t>22C0320922</t>
  </si>
  <si>
    <t>E2C1138821</t>
  </si>
  <si>
    <t>22C0320925</t>
  </si>
  <si>
    <t>E2C1138838</t>
  </si>
  <si>
    <t>22C0321228</t>
  </si>
  <si>
    <t>E2C1138848</t>
  </si>
  <si>
    <t>22C0321227</t>
  </si>
  <si>
    <t>E2C1138918</t>
  </si>
  <si>
    <t>22C0307483</t>
  </si>
  <si>
    <t>E2C1139064</t>
  </si>
  <si>
    <t>22C0321444</t>
  </si>
  <si>
    <t>E2C1139065</t>
  </si>
  <si>
    <t>22C0321445</t>
  </si>
  <si>
    <t>G2320709</t>
  </si>
  <si>
    <t>E2C1139093</t>
  </si>
  <si>
    <t>22C0321113</t>
  </si>
  <si>
    <t>G0631474</t>
  </si>
  <si>
    <t>E2C1139256</t>
  </si>
  <si>
    <t>22C0321390</t>
  </si>
  <si>
    <t>E2C1139305</t>
  </si>
  <si>
    <t>22C0321260</t>
  </si>
  <si>
    <t>E2C1139346</t>
  </si>
  <si>
    <t>22C0321171</t>
  </si>
  <si>
    <t>AF00038601</t>
  </si>
  <si>
    <t>E2C1139347</t>
  </si>
  <si>
    <t>22C0320793</t>
  </si>
  <si>
    <t>E2C1139391</t>
  </si>
  <si>
    <t>22C0321153</t>
  </si>
  <si>
    <t>G0781784</t>
  </si>
  <si>
    <t>E2C1139400</t>
  </si>
  <si>
    <t>22C0321396</t>
  </si>
  <si>
    <t>E2C1139401</t>
  </si>
  <si>
    <t>22C0321465</t>
  </si>
  <si>
    <t>E2C1139408</t>
  </si>
  <si>
    <t>22C0321378</t>
  </si>
  <si>
    <t>E2C1139415</t>
  </si>
  <si>
    <t>22C0321381</t>
  </si>
  <si>
    <t>G0822483</t>
  </si>
  <si>
    <t>E2C1139452</t>
  </si>
  <si>
    <t>22C0321477</t>
  </si>
  <si>
    <t>G0996476</t>
  </si>
  <si>
    <t>E2C1139448</t>
  </si>
  <si>
    <t>22C0321352</t>
  </si>
  <si>
    <t>E2C1139450</t>
  </si>
  <si>
    <t>22C0321351</t>
  </si>
  <si>
    <t>G2122688</t>
  </si>
  <si>
    <t>E2C1139451</t>
  </si>
  <si>
    <t>22C0321474</t>
  </si>
  <si>
    <t>E2C1139454</t>
  </si>
  <si>
    <t>22C0321479</t>
  </si>
  <si>
    <t>G1783593</t>
  </si>
  <si>
    <t>E2C1139459</t>
  </si>
  <si>
    <t>22C0321244</t>
  </si>
  <si>
    <t>E2C1139669</t>
  </si>
  <si>
    <t>22C0321598</t>
  </si>
  <si>
    <t>E2C1139675</t>
  </si>
  <si>
    <t>22C0321559</t>
  </si>
  <si>
    <t>E2C1139676</t>
  </si>
  <si>
    <t>22C0321560</t>
  </si>
  <si>
    <t>G0944032</t>
  </si>
  <si>
    <t>E2C1139679</t>
  </si>
  <si>
    <t>22C0321717</t>
  </si>
  <si>
    <t>G1030270</t>
  </si>
  <si>
    <t>E2C1139680</t>
  </si>
  <si>
    <t>22C0321548</t>
  </si>
  <si>
    <t>E2C1139677</t>
  </si>
  <si>
    <t>22C0321704</t>
  </si>
  <si>
    <t>E2C1139674</t>
  </si>
  <si>
    <t>22C0321731</t>
  </si>
  <si>
    <t>G1906138</t>
  </si>
  <si>
    <t>E2C1139678</t>
  </si>
  <si>
    <t>22C0321592</t>
  </si>
  <si>
    <t>G2116301</t>
  </si>
  <si>
    <t>E2C1139681</t>
  </si>
  <si>
    <t>22C0321693</t>
  </si>
  <si>
    <t>E2C1139683</t>
  </si>
  <si>
    <t>22C0321589</t>
  </si>
  <si>
    <t>E2C1139723</t>
  </si>
  <si>
    <t>22C0321705</t>
  </si>
  <si>
    <t>E2C1139712</t>
  </si>
  <si>
    <t>22C0321432</t>
  </si>
  <si>
    <t>E2C1139725</t>
  </si>
  <si>
    <t>22C0321613</t>
  </si>
  <si>
    <t>E2C1139726</t>
  </si>
  <si>
    <t>22C0321500</t>
  </si>
  <si>
    <t>E2C1139727</t>
  </si>
  <si>
    <t>22C0321502</t>
  </si>
  <si>
    <t>G0322956</t>
  </si>
  <si>
    <t>E2C1139786</t>
  </si>
  <si>
    <t>22C0321741</t>
  </si>
  <si>
    <t>G0411410</t>
  </si>
  <si>
    <t>E2C1139775</t>
  </si>
  <si>
    <t>22C0320708</t>
  </si>
  <si>
    <t>G0631527</t>
  </si>
  <si>
    <t>E2C1139746</t>
  </si>
  <si>
    <t>22C0321470</t>
  </si>
  <si>
    <t>G2438800</t>
  </si>
  <si>
    <t>E2C1139781</t>
  </si>
  <si>
    <t>22C0321694</t>
  </si>
  <si>
    <t>E2C1139805</t>
  </si>
  <si>
    <t>22C0321379</t>
  </si>
  <si>
    <t>E2C1139835</t>
  </si>
  <si>
    <t>22C0320839</t>
  </si>
  <si>
    <t>E2C1139841</t>
  </si>
  <si>
    <t>22C0321388</t>
  </si>
  <si>
    <t>30 Days</t>
  </si>
  <si>
    <t>31-45 Days</t>
  </si>
  <si>
    <t>46-60 Days</t>
  </si>
  <si>
    <t>61-90 Days</t>
  </si>
  <si>
    <t>91-120 Days</t>
  </si>
  <si>
    <t>&gt;120 Days</t>
  </si>
  <si>
    <t>&gt;60 Days</t>
  </si>
  <si>
    <t>Days</t>
  </si>
  <si>
    <t>Ageing</t>
  </si>
  <si>
    <t>Ar Date</t>
  </si>
  <si>
    <t>Dept</t>
  </si>
  <si>
    <t>AI</t>
  </si>
  <si>
    <t>Credit limit</t>
  </si>
  <si>
    <t>Grand Total</t>
  </si>
  <si>
    <t>#N/A</t>
  </si>
  <si>
    <t>Sum of Balance</t>
  </si>
  <si>
    <t>Sum of 30 Days</t>
  </si>
  <si>
    <t>Sum of 31-45 Days</t>
  </si>
  <si>
    <t>Sum of 46-60 Days</t>
  </si>
  <si>
    <t>Sum of 61-90 Days</t>
  </si>
  <si>
    <t>Sum of 91-120 Days</t>
  </si>
  <si>
    <t>Sum of &gt;120 Days</t>
  </si>
  <si>
    <t>Sum of &gt;60 Days</t>
  </si>
  <si>
    <t>XXX</t>
  </si>
  <si>
    <t>XXX2</t>
  </si>
  <si>
    <t>Credit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</si>
</sst>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 Light"/>
      <family val="2"/>
      <scheme val="major"/>
    </font>
    <font>
      <b/>
      <i/>
      <sz val="9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15" fontId="18" fillId="0" borderId="0" xfId="0" applyNumberFormat="1" applyFont="1"/>
    <xf numFmtId="38" fontId="18" fillId="0" borderId="0" xfId="0" applyNumberFormat="1" applyFont="1"/>
    <xf numFmtId="38" fontId="20" fillId="0" borderId="10" xfId="0" applyNumberFormat="1" applyFont="1" applyFill="1" applyBorder="1" applyAlignment="1">
      <alignment horizontal="right"/>
    </xf>
    <xf numFmtId="1" fontId="20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15" fontId="20" fillId="0" borderId="10" xfId="0" applyNumberFormat="1" applyFont="1" applyBorder="1" applyAlignment="1">
      <alignment horizontal="center"/>
    </xf>
    <xf numFmtId="38" fontId="20" fillId="0" borderId="0" xfId="0" applyNumberFormat="1" applyFont="1"/>
    <xf numFmtId="0" fontId="20" fillId="0" borderId="0" xfId="0" applyFont="1" applyAlignment="1">
      <alignment horizontal="center"/>
    </xf>
    <xf numFmtId="15" fontId="20" fillId="0" borderId="0" xfId="0" applyNumberFormat="1" applyFont="1" applyAlignment="1">
      <alignment horizontal="center"/>
    </xf>
    <xf numFmtId="164" fontId="19" fillId="33" borderId="10" xfId="0" applyNumberFormat="1" applyFont="1" applyFill="1" applyBorder="1" applyAlignment="1">
      <alignment horizontal="center"/>
    </xf>
    <xf numFmtId="0" fontId="21" fillId="33" borderId="0" xfId="0" applyFont="1" applyFill="1"/>
    <xf numFmtId="0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cripting\Finance\Invoice%20Operator\BOM_INV_OPERATOR_DETAILS_OUTPUT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M_INV_OPERATOR_DETAILS_OUTPUT"/>
    </sheetNames>
    <sheetDataSet>
      <sheetData sheetId="0">
        <row r="2">
          <cell r="A2" t="str">
            <v>E2C1138513</v>
          </cell>
          <cell r="B2" t="str">
            <v>H</v>
          </cell>
          <cell r="C2" t="str">
            <v>VJ</v>
          </cell>
          <cell r="D2" t="str">
            <v>OI</v>
          </cell>
        </row>
        <row r="3">
          <cell r="A3" t="str">
            <v>E2C1138507</v>
          </cell>
          <cell r="B3" t="str">
            <v>H</v>
          </cell>
          <cell r="C3" t="str">
            <v>V2</v>
          </cell>
          <cell r="D3" t="str">
            <v>OI</v>
          </cell>
        </row>
        <row r="4">
          <cell r="A4" t="str">
            <v>E2C1138506</v>
          </cell>
          <cell r="B4" t="str">
            <v>H</v>
          </cell>
          <cell r="C4" t="str">
            <v>V2</v>
          </cell>
          <cell r="D4" t="str">
            <v>OI</v>
          </cell>
        </row>
        <row r="5">
          <cell r="A5" t="str">
            <v>E2C1138512</v>
          </cell>
          <cell r="B5" t="str">
            <v>H</v>
          </cell>
          <cell r="C5" t="str">
            <v>VJ</v>
          </cell>
          <cell r="D5" t="str">
            <v>OI</v>
          </cell>
        </row>
        <row r="6">
          <cell r="A6" t="str">
            <v>E2C1138511</v>
          </cell>
          <cell r="B6" t="str">
            <v>H</v>
          </cell>
          <cell r="C6" t="str">
            <v>V2</v>
          </cell>
          <cell r="D6" t="str">
            <v>OI</v>
          </cell>
        </row>
        <row r="7">
          <cell r="A7" t="str">
            <v>E2C1138509</v>
          </cell>
          <cell r="B7" t="str">
            <v>H</v>
          </cell>
          <cell r="C7" t="str">
            <v>VJ</v>
          </cell>
          <cell r="D7" t="str">
            <v>OI</v>
          </cell>
        </row>
        <row r="8">
          <cell r="A8" t="str">
            <v>E2C1138510</v>
          </cell>
          <cell r="B8" t="str">
            <v>H</v>
          </cell>
          <cell r="C8" t="str">
            <v>VJ</v>
          </cell>
          <cell r="D8" t="str">
            <v>OI</v>
          </cell>
        </row>
        <row r="9">
          <cell r="A9" t="str">
            <v>E2C1139461</v>
          </cell>
          <cell r="B9" t="str">
            <v>I</v>
          </cell>
          <cell r="C9" t="str">
            <v>SY</v>
          </cell>
          <cell r="D9" t="str">
            <v>CHB</v>
          </cell>
        </row>
        <row r="10">
          <cell r="A10" t="str">
            <v>E2C1138508</v>
          </cell>
          <cell r="B10" t="str">
            <v>H</v>
          </cell>
          <cell r="C10" t="str">
            <v>VJ</v>
          </cell>
          <cell r="D10" t="str">
            <v>OI</v>
          </cell>
        </row>
        <row r="11">
          <cell r="A11" t="str">
            <v>E2C1138504</v>
          </cell>
          <cell r="B11" t="str">
            <v>H</v>
          </cell>
          <cell r="C11" t="str">
            <v>V2</v>
          </cell>
          <cell r="D11" t="str">
            <v>OI</v>
          </cell>
        </row>
        <row r="12">
          <cell r="A12" t="str">
            <v>E2C1138505</v>
          </cell>
          <cell r="B12" t="str">
            <v>H</v>
          </cell>
          <cell r="C12" t="str">
            <v>VJ</v>
          </cell>
          <cell r="D12" t="str">
            <v>OI</v>
          </cell>
        </row>
        <row r="13">
          <cell r="A13" t="str">
            <v>E2C1138567</v>
          </cell>
          <cell r="B13" t="str">
            <v>I</v>
          </cell>
          <cell r="C13" t="str">
            <v>MH</v>
          </cell>
          <cell r="D13" t="str">
            <v>CHB</v>
          </cell>
        </row>
        <row r="14">
          <cell r="A14" t="str">
            <v>E2C1138560</v>
          </cell>
          <cell r="B14" t="str">
            <v>I</v>
          </cell>
          <cell r="C14" t="str">
            <v>MH</v>
          </cell>
          <cell r="D14" t="str">
            <v>CHB</v>
          </cell>
        </row>
        <row r="15">
          <cell r="A15" t="str">
            <v>E2C1138922</v>
          </cell>
          <cell r="B15" t="str">
            <v>I</v>
          </cell>
          <cell r="C15" t="str">
            <v>MH</v>
          </cell>
          <cell r="D15" t="str">
            <v>CHB</v>
          </cell>
        </row>
        <row r="16">
          <cell r="A16" t="str">
            <v>E2C1137522</v>
          </cell>
          <cell r="B16" t="str">
            <v>N</v>
          </cell>
          <cell r="C16" t="str">
            <v>ST</v>
          </cell>
          <cell r="D16" t="str">
            <v>OM</v>
          </cell>
        </row>
        <row r="17">
          <cell r="A17" t="str">
            <v>E2C1138321</v>
          </cell>
          <cell r="B17" t="str">
            <v>F</v>
          </cell>
          <cell r="C17" t="str">
            <v>SY</v>
          </cell>
          <cell r="D17" t="str">
            <v>CHB</v>
          </cell>
        </row>
        <row r="18">
          <cell r="A18" t="str">
            <v>E2C1137984</v>
          </cell>
          <cell r="B18" t="str">
            <v>H</v>
          </cell>
          <cell r="C18" t="str">
            <v>JK</v>
          </cell>
          <cell r="D18" t="str">
            <v>AI</v>
          </cell>
        </row>
        <row r="19">
          <cell r="A19" t="str">
            <v>E2C1138729</v>
          </cell>
          <cell r="B19" t="str">
            <v>I</v>
          </cell>
          <cell r="C19" t="str">
            <v>SY</v>
          </cell>
          <cell r="D19" t="str">
            <v>CHB</v>
          </cell>
        </row>
        <row r="20">
          <cell r="A20" t="str">
            <v>E2C1138301</v>
          </cell>
          <cell r="B20" t="str">
            <v>F</v>
          </cell>
          <cell r="C20" t="str">
            <v>MH</v>
          </cell>
          <cell r="D20" t="str">
            <v>CHB</v>
          </cell>
        </row>
        <row r="21">
          <cell r="A21" t="str">
            <v>E2C1139367</v>
          </cell>
          <cell r="B21" t="str">
            <v>I</v>
          </cell>
          <cell r="C21" t="str">
            <v>MH</v>
          </cell>
          <cell r="D21" t="str">
            <v>CHB</v>
          </cell>
        </row>
        <row r="22">
          <cell r="A22" t="str">
            <v>E2C1139495</v>
          </cell>
          <cell r="B22" t="str">
            <v>I</v>
          </cell>
          <cell r="C22" t="str">
            <v>MH</v>
          </cell>
          <cell r="D22" t="str">
            <v>CHB</v>
          </cell>
        </row>
        <row r="23">
          <cell r="A23" t="str">
            <v>E2C1137740</v>
          </cell>
          <cell r="B23" t="str">
            <v>H</v>
          </cell>
          <cell r="C23" t="str">
            <v>CR</v>
          </cell>
          <cell r="D23" t="str">
            <v>AI</v>
          </cell>
        </row>
        <row r="24">
          <cell r="A24" t="str">
            <v>E2C1139408</v>
          </cell>
          <cell r="B24" t="str">
            <v>H</v>
          </cell>
          <cell r="C24" t="str">
            <v>V1</v>
          </cell>
          <cell r="D24" t="str">
            <v>AI</v>
          </cell>
        </row>
        <row r="25">
          <cell r="A25" t="str">
            <v>E2C1139415</v>
          </cell>
          <cell r="B25" t="str">
            <v>H</v>
          </cell>
          <cell r="C25" t="str">
            <v>V1</v>
          </cell>
          <cell r="D25" t="str">
            <v>AI</v>
          </cell>
        </row>
        <row r="26">
          <cell r="A26" t="str">
            <v>E2C1139726</v>
          </cell>
          <cell r="B26" t="str">
            <v>H</v>
          </cell>
          <cell r="C26" t="str">
            <v>CR</v>
          </cell>
          <cell r="D26" t="str">
            <v>AI</v>
          </cell>
        </row>
        <row r="27">
          <cell r="A27" t="str">
            <v>E2C1138274</v>
          </cell>
          <cell r="B27" t="str">
            <v>F</v>
          </cell>
          <cell r="C27" t="str">
            <v>SY</v>
          </cell>
          <cell r="D27" t="str">
            <v>CHB</v>
          </cell>
        </row>
        <row r="28">
          <cell r="A28" t="str">
            <v>E2C1138587</v>
          </cell>
          <cell r="B28" t="str">
            <v>N</v>
          </cell>
          <cell r="C28" t="str">
            <v>PG</v>
          </cell>
          <cell r="D28" t="str">
            <v>OE</v>
          </cell>
        </row>
        <row r="29">
          <cell r="A29" t="str">
            <v>E2C1138822</v>
          </cell>
          <cell r="B29" t="str">
            <v>N</v>
          </cell>
          <cell r="C29" t="str">
            <v>AJ</v>
          </cell>
          <cell r="D29" t="str">
            <v>OE</v>
          </cell>
        </row>
        <row r="30">
          <cell r="A30" t="str">
            <v>E2C1139727</v>
          </cell>
          <cell r="B30" t="str">
            <v>H</v>
          </cell>
          <cell r="C30" t="str">
            <v>CR</v>
          </cell>
          <cell r="D30" t="str">
            <v>AI</v>
          </cell>
        </row>
        <row r="31">
          <cell r="A31" t="str">
            <v>E2C1138058</v>
          </cell>
          <cell r="B31" t="str">
            <v>H</v>
          </cell>
          <cell r="C31" t="str">
            <v>V1</v>
          </cell>
          <cell r="D31" t="str">
            <v>AI</v>
          </cell>
        </row>
        <row r="32">
          <cell r="A32" t="str">
            <v>E2C1138727</v>
          </cell>
          <cell r="B32" t="str">
            <v>I</v>
          </cell>
          <cell r="C32" t="str">
            <v>SY</v>
          </cell>
          <cell r="D32" t="str">
            <v>CHB</v>
          </cell>
        </row>
        <row r="33">
          <cell r="A33" t="str">
            <v>E2C1138243</v>
          </cell>
          <cell r="B33" t="str">
            <v>N</v>
          </cell>
          <cell r="C33" t="str">
            <v>AJ</v>
          </cell>
          <cell r="D33" t="str">
            <v>OE</v>
          </cell>
        </row>
        <row r="34">
          <cell r="A34" t="str">
            <v>E2C1139447</v>
          </cell>
          <cell r="B34" t="str">
            <v>N</v>
          </cell>
          <cell r="C34" t="str">
            <v>SW</v>
          </cell>
          <cell r="D34" t="str">
            <v>OE</v>
          </cell>
        </row>
        <row r="35">
          <cell r="A35" t="str">
            <v>E2C1138555</v>
          </cell>
          <cell r="B35" t="str">
            <v>I</v>
          </cell>
          <cell r="C35" t="str">
            <v>MH</v>
          </cell>
          <cell r="D35" t="str">
            <v>CHB</v>
          </cell>
        </row>
        <row r="36">
          <cell r="A36" t="str">
            <v>E2C1138731</v>
          </cell>
          <cell r="B36" t="str">
            <v>I</v>
          </cell>
          <cell r="C36" t="str">
            <v>SY</v>
          </cell>
          <cell r="D36" t="str">
            <v>CHB</v>
          </cell>
        </row>
        <row r="37">
          <cell r="A37" t="str">
            <v>E2C1139064</v>
          </cell>
          <cell r="B37" t="str">
            <v>H</v>
          </cell>
          <cell r="C37" t="str">
            <v>V1</v>
          </cell>
          <cell r="D37" t="str">
            <v>AI</v>
          </cell>
        </row>
        <row r="38">
          <cell r="A38" t="str">
            <v>E2C1139065</v>
          </cell>
          <cell r="B38" t="str">
            <v>H</v>
          </cell>
          <cell r="C38" t="str">
            <v>V1</v>
          </cell>
          <cell r="D38" t="str">
            <v>AI</v>
          </cell>
        </row>
        <row r="39">
          <cell r="A39" t="str">
            <v>E2C1137634</v>
          </cell>
          <cell r="B39" t="str">
            <v>H</v>
          </cell>
          <cell r="C39" t="str">
            <v>JK</v>
          </cell>
          <cell r="D39" t="str">
            <v>AI</v>
          </cell>
        </row>
        <row r="40">
          <cell r="A40" t="str">
            <v>E2C1137636</v>
          </cell>
          <cell r="B40" t="str">
            <v>H</v>
          </cell>
          <cell r="C40" t="str">
            <v>JK</v>
          </cell>
          <cell r="D40" t="str">
            <v>AI</v>
          </cell>
        </row>
        <row r="41">
          <cell r="A41" t="str">
            <v>E2C1139001</v>
          </cell>
          <cell r="B41" t="str">
            <v>I</v>
          </cell>
          <cell r="C41" t="str">
            <v>SY</v>
          </cell>
          <cell r="D41" t="str">
            <v>CHB</v>
          </cell>
        </row>
        <row r="42">
          <cell r="A42" t="str">
            <v>E2C1138083</v>
          </cell>
          <cell r="B42" t="str">
            <v>N</v>
          </cell>
          <cell r="C42" t="str">
            <v>ST</v>
          </cell>
          <cell r="D42" t="str">
            <v>OM</v>
          </cell>
        </row>
        <row r="43">
          <cell r="A43" t="str">
            <v>E2C1138853</v>
          </cell>
          <cell r="B43" t="str">
            <v>N</v>
          </cell>
          <cell r="C43" t="str">
            <v>ST</v>
          </cell>
          <cell r="D43" t="str">
            <v>OM</v>
          </cell>
        </row>
        <row r="44">
          <cell r="A44" t="str">
            <v>E2C1138855</v>
          </cell>
          <cell r="B44" t="str">
            <v>N</v>
          </cell>
          <cell r="C44" t="str">
            <v>ST</v>
          </cell>
          <cell r="D44" t="str">
            <v>OM</v>
          </cell>
        </row>
        <row r="45">
          <cell r="A45" t="str">
            <v>E2C1138858</v>
          </cell>
          <cell r="B45" t="str">
            <v>N</v>
          </cell>
          <cell r="C45" t="str">
            <v>ST</v>
          </cell>
          <cell r="D45" t="str">
            <v>OM</v>
          </cell>
        </row>
        <row r="46">
          <cell r="A46" t="str">
            <v>E2C1138866</v>
          </cell>
          <cell r="B46" t="str">
            <v>N</v>
          </cell>
          <cell r="C46" t="str">
            <v>ST</v>
          </cell>
          <cell r="D46" t="str">
            <v>OM</v>
          </cell>
        </row>
        <row r="47">
          <cell r="A47" t="str">
            <v>E2C1138868</v>
          </cell>
          <cell r="B47" t="str">
            <v>N</v>
          </cell>
          <cell r="C47" t="str">
            <v>ST</v>
          </cell>
          <cell r="D47" t="str">
            <v>OM</v>
          </cell>
        </row>
        <row r="48">
          <cell r="A48" t="str">
            <v>E2C1138869</v>
          </cell>
          <cell r="B48" t="str">
            <v>N</v>
          </cell>
          <cell r="C48" t="str">
            <v>ST</v>
          </cell>
          <cell r="D48" t="str">
            <v>OM</v>
          </cell>
        </row>
        <row r="49">
          <cell r="A49" t="str">
            <v>E2C1138917</v>
          </cell>
          <cell r="B49" t="str">
            <v>N</v>
          </cell>
          <cell r="C49" t="str">
            <v>ST</v>
          </cell>
          <cell r="D49" t="str">
            <v>OM</v>
          </cell>
        </row>
        <row r="50">
          <cell r="A50" t="str">
            <v>E2C1138919</v>
          </cell>
          <cell r="B50" t="str">
            <v>N</v>
          </cell>
          <cell r="C50" t="str">
            <v>ST</v>
          </cell>
          <cell r="D50" t="str">
            <v>OM</v>
          </cell>
        </row>
        <row r="51">
          <cell r="A51" t="str">
            <v>E2C1138920</v>
          </cell>
          <cell r="B51" t="str">
            <v>N</v>
          </cell>
          <cell r="C51" t="str">
            <v>ST</v>
          </cell>
          <cell r="D51" t="str">
            <v>OM</v>
          </cell>
        </row>
        <row r="52">
          <cell r="A52" t="str">
            <v>E2C1139402</v>
          </cell>
          <cell r="B52" t="str">
            <v>I</v>
          </cell>
          <cell r="C52" t="str">
            <v>MH</v>
          </cell>
          <cell r="D52" t="str">
            <v>CHB</v>
          </cell>
        </row>
        <row r="53">
          <cell r="A53" t="str">
            <v>E2C1139199</v>
          </cell>
          <cell r="B53" t="str">
            <v>N</v>
          </cell>
          <cell r="C53" t="str">
            <v>C1</v>
          </cell>
          <cell r="D53" t="str">
            <v>OM</v>
          </cell>
        </row>
        <row r="54">
          <cell r="A54" t="str">
            <v>E2C1139200</v>
          </cell>
          <cell r="B54" t="str">
            <v>N</v>
          </cell>
          <cell r="C54" t="str">
            <v>C1</v>
          </cell>
          <cell r="D54" t="str">
            <v>OM</v>
          </cell>
        </row>
        <row r="55">
          <cell r="A55" t="str">
            <v>E2C1139201</v>
          </cell>
          <cell r="B55" t="str">
            <v>N</v>
          </cell>
          <cell r="C55" t="str">
            <v>C1</v>
          </cell>
          <cell r="D55" t="str">
            <v>OM</v>
          </cell>
        </row>
        <row r="56">
          <cell r="A56" t="str">
            <v>E2C1139202</v>
          </cell>
          <cell r="B56" t="str">
            <v>N</v>
          </cell>
          <cell r="C56" t="str">
            <v>C1</v>
          </cell>
          <cell r="D56" t="str">
            <v>OM</v>
          </cell>
        </row>
        <row r="57">
          <cell r="A57" t="str">
            <v>E2C1139203</v>
          </cell>
          <cell r="B57" t="str">
            <v>N</v>
          </cell>
          <cell r="C57" t="str">
            <v>C1</v>
          </cell>
          <cell r="D57" t="str">
            <v>OM</v>
          </cell>
        </row>
        <row r="58">
          <cell r="A58" t="str">
            <v>E2C1139204</v>
          </cell>
          <cell r="B58" t="str">
            <v>N</v>
          </cell>
          <cell r="C58" t="str">
            <v>C1</v>
          </cell>
          <cell r="D58" t="str">
            <v>OM</v>
          </cell>
        </row>
        <row r="59">
          <cell r="A59" t="str">
            <v>E2C1139205</v>
          </cell>
          <cell r="B59" t="str">
            <v>N</v>
          </cell>
          <cell r="C59" t="str">
            <v>C1</v>
          </cell>
          <cell r="D59" t="str">
            <v>OM</v>
          </cell>
        </row>
        <row r="60">
          <cell r="A60" t="str">
            <v>E2C1139206</v>
          </cell>
          <cell r="B60" t="str">
            <v>N</v>
          </cell>
          <cell r="C60" t="str">
            <v>C1</v>
          </cell>
          <cell r="D60" t="str">
            <v>OM</v>
          </cell>
        </row>
        <row r="61">
          <cell r="A61" t="str">
            <v>E2C1139207</v>
          </cell>
          <cell r="B61" t="str">
            <v>N</v>
          </cell>
          <cell r="C61" t="str">
            <v>C1</v>
          </cell>
          <cell r="D61" t="str">
            <v>OM</v>
          </cell>
        </row>
        <row r="62">
          <cell r="A62" t="str">
            <v>E2C1139208</v>
          </cell>
          <cell r="B62" t="str">
            <v>N</v>
          </cell>
          <cell r="C62" t="str">
            <v>C1</v>
          </cell>
          <cell r="D62" t="str">
            <v>OM</v>
          </cell>
        </row>
        <row r="63">
          <cell r="A63" t="str">
            <v>E2C1139209</v>
          </cell>
          <cell r="B63" t="str">
            <v>N</v>
          </cell>
          <cell r="C63" t="str">
            <v>C1</v>
          </cell>
          <cell r="D63" t="str">
            <v>OM</v>
          </cell>
        </row>
        <row r="64">
          <cell r="A64" t="str">
            <v>E2C1139210</v>
          </cell>
          <cell r="B64" t="str">
            <v>N</v>
          </cell>
          <cell r="C64" t="str">
            <v>C1</v>
          </cell>
          <cell r="D64" t="str">
            <v>OM</v>
          </cell>
        </row>
        <row r="65">
          <cell r="A65" t="str">
            <v>E2C1139186</v>
          </cell>
          <cell r="B65" t="str">
            <v>N</v>
          </cell>
          <cell r="C65" t="str">
            <v>SU</v>
          </cell>
          <cell r="D65" t="str">
            <v>OM</v>
          </cell>
        </row>
        <row r="66">
          <cell r="A66" t="str">
            <v>E2C1138786</v>
          </cell>
          <cell r="B66" t="str">
            <v>N</v>
          </cell>
          <cell r="C66" t="str">
            <v>SU</v>
          </cell>
          <cell r="D66" t="str">
            <v>OM</v>
          </cell>
        </row>
        <row r="67">
          <cell r="A67" t="str">
            <v>E2C1139161</v>
          </cell>
          <cell r="B67" t="str">
            <v>N</v>
          </cell>
          <cell r="C67" t="str">
            <v>SU</v>
          </cell>
          <cell r="D67" t="str">
            <v>OM</v>
          </cell>
        </row>
        <row r="68">
          <cell r="A68" t="str">
            <v>E2C1139174</v>
          </cell>
          <cell r="B68" t="str">
            <v>N</v>
          </cell>
          <cell r="C68" t="str">
            <v>SU</v>
          </cell>
          <cell r="D68" t="str">
            <v>OM</v>
          </cell>
        </row>
        <row r="69">
          <cell r="A69" t="str">
            <v>E2C1138787</v>
          </cell>
          <cell r="B69" t="str">
            <v>N</v>
          </cell>
          <cell r="C69" t="str">
            <v>SU</v>
          </cell>
          <cell r="D69" t="str">
            <v>OM</v>
          </cell>
        </row>
        <row r="70">
          <cell r="A70" t="str">
            <v>E2C1139167</v>
          </cell>
          <cell r="B70" t="str">
            <v>N</v>
          </cell>
          <cell r="C70" t="str">
            <v>SU</v>
          </cell>
          <cell r="D70" t="str">
            <v>OM</v>
          </cell>
        </row>
        <row r="71">
          <cell r="A71" t="str">
            <v>E2C1139166</v>
          </cell>
          <cell r="B71" t="str">
            <v>N</v>
          </cell>
          <cell r="C71" t="str">
            <v>SU</v>
          </cell>
          <cell r="D71" t="str">
            <v>OM</v>
          </cell>
        </row>
        <row r="72">
          <cell r="A72" t="str">
            <v>E2C1139231</v>
          </cell>
          <cell r="B72" t="str">
            <v>N</v>
          </cell>
          <cell r="C72" t="str">
            <v>SU</v>
          </cell>
          <cell r="D72" t="str">
            <v>OM</v>
          </cell>
        </row>
        <row r="73">
          <cell r="A73" t="str">
            <v>E2C1139232</v>
          </cell>
          <cell r="B73" t="str">
            <v>N</v>
          </cell>
          <cell r="C73" t="str">
            <v>SU</v>
          </cell>
          <cell r="D73" t="str">
            <v>OM</v>
          </cell>
        </row>
        <row r="74">
          <cell r="A74" t="str">
            <v>E2C1139525</v>
          </cell>
          <cell r="B74" t="str">
            <v>N</v>
          </cell>
          <cell r="C74" t="str">
            <v>SU</v>
          </cell>
          <cell r="D74" t="str">
            <v>OM</v>
          </cell>
        </row>
        <row r="75">
          <cell r="A75" t="str">
            <v>E2C1139523</v>
          </cell>
          <cell r="B75" t="str">
            <v>N</v>
          </cell>
          <cell r="C75" t="str">
            <v>SU</v>
          </cell>
          <cell r="D75" t="str">
            <v>OM</v>
          </cell>
        </row>
        <row r="76">
          <cell r="A76" t="str">
            <v>E2C1139524</v>
          </cell>
          <cell r="B76" t="str">
            <v>N</v>
          </cell>
          <cell r="C76" t="str">
            <v>SU</v>
          </cell>
          <cell r="D76" t="str">
            <v>OM</v>
          </cell>
        </row>
        <row r="77">
          <cell r="A77" t="str">
            <v>E2C1139529</v>
          </cell>
          <cell r="B77" t="str">
            <v>N</v>
          </cell>
          <cell r="C77" t="str">
            <v>SU</v>
          </cell>
          <cell r="D77" t="str">
            <v>OM</v>
          </cell>
        </row>
        <row r="78">
          <cell r="A78" t="str">
            <v>E2C1139178</v>
          </cell>
          <cell r="B78" t="str">
            <v>N</v>
          </cell>
          <cell r="C78" t="str">
            <v>SU</v>
          </cell>
          <cell r="D78" t="str">
            <v>OM</v>
          </cell>
        </row>
        <row r="79">
          <cell r="A79" t="str">
            <v>E2C1138802</v>
          </cell>
          <cell r="B79" t="str">
            <v>N</v>
          </cell>
          <cell r="C79" t="str">
            <v>SU</v>
          </cell>
          <cell r="D79" t="str">
            <v>OM</v>
          </cell>
        </row>
        <row r="80">
          <cell r="A80" t="str">
            <v>E2C1139164</v>
          </cell>
          <cell r="B80" t="str">
            <v>N</v>
          </cell>
          <cell r="C80" t="str">
            <v>SU</v>
          </cell>
          <cell r="D80" t="str">
            <v>OM</v>
          </cell>
        </row>
        <row r="81">
          <cell r="A81" t="str">
            <v>E2C1139169</v>
          </cell>
          <cell r="B81" t="str">
            <v>N</v>
          </cell>
          <cell r="C81" t="str">
            <v>SU</v>
          </cell>
          <cell r="D81" t="str">
            <v>OM</v>
          </cell>
        </row>
        <row r="82">
          <cell r="A82" t="str">
            <v>E2C1139179</v>
          </cell>
          <cell r="B82" t="str">
            <v>N</v>
          </cell>
          <cell r="C82" t="str">
            <v>SU</v>
          </cell>
          <cell r="D82" t="str">
            <v>OM</v>
          </cell>
        </row>
        <row r="83">
          <cell r="A83" t="str">
            <v>E2C1139234</v>
          </cell>
          <cell r="B83" t="str">
            <v>N</v>
          </cell>
          <cell r="C83" t="str">
            <v>SU</v>
          </cell>
          <cell r="D83" t="str">
            <v>OM</v>
          </cell>
        </row>
        <row r="84">
          <cell r="A84" t="str">
            <v>E2C1139236</v>
          </cell>
          <cell r="B84" t="str">
            <v>N</v>
          </cell>
          <cell r="C84" t="str">
            <v>SU</v>
          </cell>
          <cell r="D84" t="str">
            <v>OM</v>
          </cell>
        </row>
        <row r="85">
          <cell r="A85" t="str">
            <v>E2C1139237</v>
          </cell>
          <cell r="B85" t="str">
            <v>N</v>
          </cell>
          <cell r="C85" t="str">
            <v>SU</v>
          </cell>
          <cell r="D85" t="str">
            <v>OM</v>
          </cell>
        </row>
        <row r="86">
          <cell r="A86" t="str">
            <v>E2C1139239</v>
          </cell>
          <cell r="B86" t="str">
            <v>N</v>
          </cell>
          <cell r="C86" t="str">
            <v>SU</v>
          </cell>
          <cell r="D86" t="str">
            <v>OM</v>
          </cell>
        </row>
        <row r="87">
          <cell r="A87" t="str">
            <v>E2C1139240</v>
          </cell>
          <cell r="B87" t="str">
            <v>N</v>
          </cell>
          <cell r="C87" t="str">
            <v>SU</v>
          </cell>
          <cell r="D87" t="str">
            <v>OM</v>
          </cell>
        </row>
        <row r="88">
          <cell r="A88" t="str">
            <v>E2C1138803</v>
          </cell>
          <cell r="B88" t="str">
            <v>N</v>
          </cell>
          <cell r="C88" t="str">
            <v>SU</v>
          </cell>
          <cell r="D88" t="str">
            <v>OM</v>
          </cell>
        </row>
        <row r="89">
          <cell r="A89" t="str">
            <v>E2C1139163</v>
          </cell>
          <cell r="B89" t="str">
            <v>N</v>
          </cell>
          <cell r="C89" t="str">
            <v>SU</v>
          </cell>
          <cell r="D89" t="str">
            <v>OM</v>
          </cell>
        </row>
        <row r="90">
          <cell r="A90" t="str">
            <v>E2C1137509</v>
          </cell>
          <cell r="B90" t="str">
            <v>N</v>
          </cell>
          <cell r="C90" t="str">
            <v>SU</v>
          </cell>
          <cell r="D90" t="str">
            <v>OM</v>
          </cell>
        </row>
        <row r="91">
          <cell r="A91" t="str">
            <v>E2C1138784</v>
          </cell>
          <cell r="B91" t="str">
            <v>N</v>
          </cell>
          <cell r="C91" t="str">
            <v>SU</v>
          </cell>
          <cell r="D91" t="str">
            <v>OM</v>
          </cell>
        </row>
        <row r="92">
          <cell r="A92" t="str">
            <v>E2C1138804</v>
          </cell>
          <cell r="B92" t="str">
            <v>N</v>
          </cell>
          <cell r="C92" t="str">
            <v>SU</v>
          </cell>
          <cell r="D92" t="str">
            <v>OM</v>
          </cell>
        </row>
        <row r="93">
          <cell r="A93" t="str">
            <v>E2C1139244</v>
          </cell>
          <cell r="B93" t="str">
            <v>N</v>
          </cell>
          <cell r="C93" t="str">
            <v>SU</v>
          </cell>
          <cell r="D93" t="str">
            <v>OM</v>
          </cell>
        </row>
        <row r="94">
          <cell r="A94" t="str">
            <v>E2C1138782</v>
          </cell>
          <cell r="B94" t="str">
            <v>N</v>
          </cell>
          <cell r="C94" t="str">
            <v>SU</v>
          </cell>
          <cell r="D94" t="str">
            <v>OM</v>
          </cell>
        </row>
        <row r="95">
          <cell r="A95" t="str">
            <v>E2C1139177</v>
          </cell>
          <cell r="B95" t="str">
            <v>N</v>
          </cell>
          <cell r="C95" t="str">
            <v>SU</v>
          </cell>
          <cell r="D95" t="str">
            <v>OM</v>
          </cell>
        </row>
        <row r="96">
          <cell r="A96" t="str">
            <v>E2C1138783</v>
          </cell>
          <cell r="B96" t="str">
            <v>N</v>
          </cell>
          <cell r="C96" t="str">
            <v>SU</v>
          </cell>
          <cell r="D96" t="str">
            <v>OM</v>
          </cell>
        </row>
        <row r="97">
          <cell r="A97" t="str">
            <v>E2C1139775</v>
          </cell>
          <cell r="B97" t="str">
            <v>H</v>
          </cell>
          <cell r="C97" t="str">
            <v>CR</v>
          </cell>
          <cell r="D97" t="str">
            <v>AI</v>
          </cell>
        </row>
        <row r="98">
          <cell r="A98" t="str">
            <v>E2C1138292</v>
          </cell>
          <cell r="B98" t="str">
            <v>I</v>
          </cell>
          <cell r="C98" t="str">
            <v>PD</v>
          </cell>
          <cell r="D98" t="str">
            <v>CHB</v>
          </cell>
        </row>
        <row r="99">
          <cell r="A99" t="str">
            <v>E2C1139522</v>
          </cell>
          <cell r="B99" t="str">
            <v>N</v>
          </cell>
          <cell r="C99" t="str">
            <v>SU</v>
          </cell>
          <cell r="D99" t="str">
            <v>OM</v>
          </cell>
        </row>
        <row r="100">
          <cell r="A100" t="str">
            <v>E2C1137511</v>
          </cell>
          <cell r="B100" t="str">
            <v>N</v>
          </cell>
          <cell r="C100" t="str">
            <v>SU</v>
          </cell>
          <cell r="D100" t="str">
            <v>OM</v>
          </cell>
        </row>
        <row r="101">
          <cell r="A101" t="str">
            <v>E2C1137729</v>
          </cell>
          <cell r="B101" t="str">
            <v>H</v>
          </cell>
          <cell r="C101" t="str">
            <v>JK</v>
          </cell>
          <cell r="D101" t="str">
            <v>AI</v>
          </cell>
        </row>
        <row r="102">
          <cell r="A102" t="str">
            <v>E2C1138785</v>
          </cell>
          <cell r="B102" t="str">
            <v>N</v>
          </cell>
          <cell r="C102" t="str">
            <v>SU</v>
          </cell>
          <cell r="D102" t="str">
            <v>OM</v>
          </cell>
        </row>
        <row r="103">
          <cell r="A103" t="str">
            <v>E2C1137564</v>
          </cell>
          <cell r="B103" t="str">
            <v>H</v>
          </cell>
          <cell r="C103" t="str">
            <v>JK</v>
          </cell>
          <cell r="D103" t="str">
            <v>AI</v>
          </cell>
        </row>
        <row r="104">
          <cell r="A104" t="str">
            <v>E2C1139675</v>
          </cell>
          <cell r="B104" t="str">
            <v>H</v>
          </cell>
          <cell r="C104" t="str">
            <v>V1</v>
          </cell>
          <cell r="D104" t="str">
            <v>AI</v>
          </cell>
        </row>
        <row r="105">
          <cell r="A105" t="str">
            <v>E2C1138055</v>
          </cell>
          <cell r="B105" t="str">
            <v>H</v>
          </cell>
          <cell r="C105" t="str">
            <v>V1</v>
          </cell>
          <cell r="D105" t="str">
            <v>AI</v>
          </cell>
        </row>
        <row r="106">
          <cell r="A106" t="str">
            <v>E2C1138326</v>
          </cell>
          <cell r="B106" t="str">
            <v>H</v>
          </cell>
          <cell r="C106" t="str">
            <v>JK</v>
          </cell>
          <cell r="D106" t="str">
            <v>AI</v>
          </cell>
        </row>
        <row r="107">
          <cell r="A107" t="str">
            <v>E2C1139847</v>
          </cell>
          <cell r="B107" t="str">
            <v>N</v>
          </cell>
          <cell r="C107" t="str">
            <v>GL</v>
          </cell>
          <cell r="D107" t="str">
            <v>OE</v>
          </cell>
        </row>
        <row r="108">
          <cell r="A108" t="str">
            <v>E2C1139676</v>
          </cell>
          <cell r="B108" t="str">
            <v>H</v>
          </cell>
          <cell r="C108" t="str">
            <v>V1</v>
          </cell>
          <cell r="D108" t="str">
            <v>AI</v>
          </cell>
        </row>
        <row r="109">
          <cell r="A109" t="str">
            <v>E2C1139894</v>
          </cell>
          <cell r="B109" t="str">
            <v>N</v>
          </cell>
          <cell r="C109" t="str">
            <v>GL</v>
          </cell>
          <cell r="D109" t="str">
            <v>OE</v>
          </cell>
        </row>
        <row r="110">
          <cell r="A110" t="str">
            <v>E2C1137879</v>
          </cell>
          <cell r="B110" t="str">
            <v>N</v>
          </cell>
          <cell r="C110" t="str">
            <v>SU</v>
          </cell>
          <cell r="D110" t="str">
            <v>OM</v>
          </cell>
        </row>
        <row r="111">
          <cell r="A111" t="str">
            <v>E2C1138599</v>
          </cell>
          <cell r="B111" t="str">
            <v>H</v>
          </cell>
          <cell r="C111" t="str">
            <v>JK</v>
          </cell>
          <cell r="D111" t="str">
            <v>AI</v>
          </cell>
        </row>
        <row r="112">
          <cell r="A112" t="str">
            <v>E2C1139679</v>
          </cell>
          <cell r="B112" t="str">
            <v>H</v>
          </cell>
          <cell r="C112" t="str">
            <v>V1</v>
          </cell>
          <cell r="D112" t="str">
            <v>AI</v>
          </cell>
        </row>
        <row r="113">
          <cell r="A113" t="str">
            <v>E2C1139256</v>
          </cell>
          <cell r="B113" t="str">
            <v>H</v>
          </cell>
          <cell r="C113" t="str">
            <v>V1</v>
          </cell>
          <cell r="D113" t="str">
            <v>AI</v>
          </cell>
        </row>
        <row r="114">
          <cell r="A114" t="str">
            <v>E2C1139861</v>
          </cell>
          <cell r="B114" t="str">
            <v>N</v>
          </cell>
          <cell r="C114" t="str">
            <v>GL</v>
          </cell>
          <cell r="D114" t="str">
            <v>OE</v>
          </cell>
        </row>
        <row r="115">
          <cell r="A115" t="str">
            <v>E2C1139187</v>
          </cell>
          <cell r="B115" t="str">
            <v>N</v>
          </cell>
          <cell r="C115" t="str">
            <v>SU</v>
          </cell>
          <cell r="D115" t="str">
            <v>OM</v>
          </cell>
        </row>
        <row r="116">
          <cell r="A116" t="str">
            <v>E2C1139677</v>
          </cell>
          <cell r="B116" t="str">
            <v>H</v>
          </cell>
          <cell r="C116" t="str">
            <v>V1</v>
          </cell>
          <cell r="D116" t="str">
            <v>AI</v>
          </cell>
        </row>
        <row r="117">
          <cell r="A117" t="str">
            <v>E2C1138596</v>
          </cell>
          <cell r="B117" t="str">
            <v>H</v>
          </cell>
          <cell r="C117" t="str">
            <v>JK</v>
          </cell>
          <cell r="D117" t="str">
            <v>AI</v>
          </cell>
        </row>
        <row r="118">
          <cell r="A118" t="str">
            <v>E2C1138843</v>
          </cell>
          <cell r="B118" t="str">
            <v>I</v>
          </cell>
          <cell r="C118" t="str">
            <v>MH</v>
          </cell>
          <cell r="D118" t="str">
            <v>CHB</v>
          </cell>
        </row>
        <row r="119">
          <cell r="A119" t="str">
            <v>E2C1139899</v>
          </cell>
          <cell r="B119" t="str">
            <v>N</v>
          </cell>
          <cell r="C119" t="str">
            <v>GL</v>
          </cell>
          <cell r="D119" t="str">
            <v>OE</v>
          </cell>
        </row>
        <row r="120">
          <cell r="A120" t="str">
            <v>E2C1139746</v>
          </cell>
          <cell r="B120" t="str">
            <v>H</v>
          </cell>
          <cell r="C120" t="str">
            <v>V1</v>
          </cell>
          <cell r="D120" t="str">
            <v>AI</v>
          </cell>
        </row>
        <row r="121">
          <cell r="A121" t="str">
            <v>E2C1138571</v>
          </cell>
          <cell r="B121" t="str">
            <v>H</v>
          </cell>
          <cell r="C121" t="str">
            <v>JK</v>
          </cell>
          <cell r="D121" t="str">
            <v>AI</v>
          </cell>
        </row>
        <row r="122">
          <cell r="A122" t="str">
            <v>E2C1139888</v>
          </cell>
          <cell r="B122" t="str">
            <v>N</v>
          </cell>
          <cell r="C122" t="str">
            <v>GL</v>
          </cell>
          <cell r="D122" t="str">
            <v>OE</v>
          </cell>
        </row>
        <row r="123">
          <cell r="A123" t="str">
            <v>E2C1138941</v>
          </cell>
          <cell r="B123" t="str">
            <v>N</v>
          </cell>
          <cell r="C123" t="str">
            <v>ST</v>
          </cell>
          <cell r="D123" t="str">
            <v>OM</v>
          </cell>
        </row>
        <row r="124">
          <cell r="A124" t="str">
            <v>E2C1139893</v>
          </cell>
          <cell r="B124" t="str">
            <v>N</v>
          </cell>
          <cell r="C124" t="str">
            <v>GL</v>
          </cell>
          <cell r="D124" t="str">
            <v>OE</v>
          </cell>
        </row>
        <row r="125">
          <cell r="A125" t="str">
            <v>E2C1139173</v>
          </cell>
          <cell r="B125" t="str">
            <v>N</v>
          </cell>
          <cell r="C125" t="str">
            <v>SU</v>
          </cell>
          <cell r="D125" t="str">
            <v>OM</v>
          </cell>
        </row>
        <row r="126">
          <cell r="A126" t="str">
            <v>E2C1139262</v>
          </cell>
          <cell r="B126" t="str">
            <v>N</v>
          </cell>
          <cell r="C126" t="str">
            <v>AT</v>
          </cell>
          <cell r="D126" t="str">
            <v>oe</v>
          </cell>
        </row>
        <row r="127">
          <cell r="A127" t="str">
            <v>E2C1137491</v>
          </cell>
          <cell r="B127" t="str">
            <v>H</v>
          </cell>
          <cell r="C127" t="str">
            <v>JK</v>
          </cell>
          <cell r="D127" t="str">
            <v>AI</v>
          </cell>
        </row>
        <row r="128">
          <cell r="A128" t="str">
            <v>E2C1139246</v>
          </cell>
          <cell r="B128" t="str">
            <v>N</v>
          </cell>
          <cell r="C128" t="str">
            <v>SU</v>
          </cell>
          <cell r="D128" t="str">
            <v>OM</v>
          </cell>
        </row>
        <row r="129">
          <cell r="A129" t="str">
            <v>E2C1138641</v>
          </cell>
          <cell r="B129" t="str">
            <v>N</v>
          </cell>
          <cell r="C129" t="str">
            <v>ST</v>
          </cell>
          <cell r="D129" t="str">
            <v>OM</v>
          </cell>
        </row>
        <row r="130">
          <cell r="A130" t="str">
            <v>E2C1138565</v>
          </cell>
          <cell r="B130" t="str">
            <v>H</v>
          </cell>
          <cell r="C130" t="str">
            <v>CR</v>
          </cell>
          <cell r="D130" t="str">
            <v>AI</v>
          </cell>
        </row>
        <row r="131">
          <cell r="A131" t="str">
            <v>E2C1137632</v>
          </cell>
          <cell r="B131" t="str">
            <v>H</v>
          </cell>
          <cell r="C131" t="str">
            <v>JK</v>
          </cell>
          <cell r="D131" t="str">
            <v>AI</v>
          </cell>
        </row>
        <row r="132">
          <cell r="A132" t="str">
            <v>E2C1138936</v>
          </cell>
          <cell r="B132" t="str">
            <v>N</v>
          </cell>
          <cell r="C132" t="str">
            <v>ST</v>
          </cell>
          <cell r="D132" t="str">
            <v>OM</v>
          </cell>
        </row>
        <row r="133">
          <cell r="A133" t="str">
            <v>E2C1138939</v>
          </cell>
          <cell r="B133" t="str">
            <v>N</v>
          </cell>
          <cell r="C133" t="str">
            <v>ST</v>
          </cell>
          <cell r="D133" t="str">
            <v>OM</v>
          </cell>
        </row>
        <row r="134">
          <cell r="A134" t="str">
            <v>E2C1138640</v>
          </cell>
          <cell r="B134" t="str">
            <v>N</v>
          </cell>
          <cell r="C134" t="str">
            <v>ST</v>
          </cell>
          <cell r="D134" t="str">
            <v>OM</v>
          </cell>
        </row>
        <row r="135">
          <cell r="A135" t="str">
            <v>E2C1139890</v>
          </cell>
          <cell r="B135" t="str">
            <v>N</v>
          </cell>
          <cell r="C135" t="str">
            <v>GL</v>
          </cell>
          <cell r="D135" t="str">
            <v>OE</v>
          </cell>
        </row>
        <row r="136">
          <cell r="A136" t="str">
            <v>E2C1138734</v>
          </cell>
          <cell r="B136" t="str">
            <v>I</v>
          </cell>
          <cell r="C136" t="str">
            <v>SY</v>
          </cell>
          <cell r="D136" t="str">
            <v>CHB</v>
          </cell>
        </row>
        <row r="137">
          <cell r="A137" t="str">
            <v>E2C1138632</v>
          </cell>
          <cell r="B137" t="str">
            <v>N</v>
          </cell>
          <cell r="C137" t="str">
            <v>ST</v>
          </cell>
          <cell r="D137" t="str">
            <v>OM</v>
          </cell>
        </row>
        <row r="138">
          <cell r="A138" t="str">
            <v>E2C1139528</v>
          </cell>
          <cell r="B138" t="str">
            <v>N</v>
          </cell>
          <cell r="C138" t="str">
            <v>SU</v>
          </cell>
          <cell r="D138" t="str">
            <v>OM</v>
          </cell>
        </row>
        <row r="139">
          <cell r="A139" t="str">
            <v>E2C1138154</v>
          </cell>
          <cell r="B139" t="str">
            <v>N</v>
          </cell>
          <cell r="C139" t="str">
            <v>AT</v>
          </cell>
          <cell r="D139" t="str">
            <v>oe</v>
          </cell>
        </row>
        <row r="140">
          <cell r="A140" t="str">
            <v>E2C1139134</v>
          </cell>
          <cell r="B140" t="str">
            <v>N</v>
          </cell>
          <cell r="C140" t="str">
            <v>ST</v>
          </cell>
          <cell r="D140" t="str">
            <v>OM</v>
          </cell>
        </row>
        <row r="141">
          <cell r="A141" t="str">
            <v>E2C1137500</v>
          </cell>
          <cell r="B141" t="str">
            <v>N</v>
          </cell>
          <cell r="C141" t="str">
            <v>ST</v>
          </cell>
          <cell r="D141" t="str">
            <v>OM</v>
          </cell>
        </row>
        <row r="142">
          <cell r="A142" t="str">
            <v>E2C1138629</v>
          </cell>
          <cell r="B142" t="str">
            <v>N</v>
          </cell>
          <cell r="C142" t="str">
            <v>ST</v>
          </cell>
          <cell r="D142" t="str">
            <v>OM</v>
          </cell>
        </row>
        <row r="143">
          <cell r="A143" t="str">
            <v>E2C1137781</v>
          </cell>
          <cell r="B143" t="str">
            <v>I</v>
          </cell>
          <cell r="C143" t="str">
            <v>PD</v>
          </cell>
          <cell r="D143" t="str">
            <v>CHB</v>
          </cell>
        </row>
        <row r="144">
          <cell r="A144" t="str">
            <v>E2C1137499</v>
          </cell>
          <cell r="B144" t="str">
            <v>N</v>
          </cell>
          <cell r="C144" t="str">
            <v>ST</v>
          </cell>
          <cell r="D144" t="str">
            <v>OM</v>
          </cell>
        </row>
        <row r="145">
          <cell r="A145" t="str">
            <v>E2C1138158</v>
          </cell>
          <cell r="B145" t="str">
            <v>N</v>
          </cell>
          <cell r="C145" t="str">
            <v>AT</v>
          </cell>
          <cell r="D145" t="str">
            <v>oe</v>
          </cell>
        </row>
        <row r="146">
          <cell r="A146" t="str">
            <v>E2C1139897</v>
          </cell>
          <cell r="B146" t="str">
            <v>N</v>
          </cell>
          <cell r="C146" t="str">
            <v>GL</v>
          </cell>
          <cell r="D146" t="str">
            <v>OE</v>
          </cell>
        </row>
        <row r="147">
          <cell r="A147" t="str">
            <v>E2C1137946</v>
          </cell>
          <cell r="B147" t="str">
            <v>N</v>
          </cell>
          <cell r="C147" t="str">
            <v>AJ</v>
          </cell>
          <cell r="D147" t="str">
            <v>OE</v>
          </cell>
        </row>
        <row r="148">
          <cell r="A148" t="str">
            <v>E2C1137947</v>
          </cell>
          <cell r="B148" t="str">
            <v>N</v>
          </cell>
          <cell r="C148" t="str">
            <v>AJ</v>
          </cell>
          <cell r="D148" t="str">
            <v>OE</v>
          </cell>
        </row>
        <row r="149">
          <cell r="A149" t="str">
            <v>E2C1137489</v>
          </cell>
          <cell r="B149" t="str">
            <v>H</v>
          </cell>
          <cell r="C149" t="str">
            <v>JK</v>
          </cell>
          <cell r="D149" t="str">
            <v>AI</v>
          </cell>
        </row>
        <row r="150">
          <cell r="A150" t="str">
            <v>E2C1138153</v>
          </cell>
          <cell r="B150" t="str">
            <v>N</v>
          </cell>
          <cell r="C150" t="str">
            <v>AT</v>
          </cell>
          <cell r="D150" t="str">
            <v>oe</v>
          </cell>
        </row>
        <row r="151">
          <cell r="A151" t="str">
            <v>E2C1138052</v>
          </cell>
          <cell r="B151" t="str">
            <v>N</v>
          </cell>
          <cell r="C151" t="str">
            <v>SU</v>
          </cell>
          <cell r="D151" t="str">
            <v>OM</v>
          </cell>
        </row>
        <row r="152">
          <cell r="A152" t="str">
            <v>E2C1137604</v>
          </cell>
          <cell r="B152" t="str">
            <v>N</v>
          </cell>
          <cell r="C152" t="str">
            <v>ST</v>
          </cell>
          <cell r="D152" t="str">
            <v>OM</v>
          </cell>
        </row>
        <row r="153">
          <cell r="A153" t="str">
            <v>E2C1138718</v>
          </cell>
          <cell r="B153" t="str">
            <v>I</v>
          </cell>
          <cell r="C153" t="str">
            <v>SY</v>
          </cell>
          <cell r="D153" t="str">
            <v>CHB</v>
          </cell>
        </row>
        <row r="154">
          <cell r="A154" t="str">
            <v>E2C1137993</v>
          </cell>
          <cell r="B154" t="str">
            <v>H</v>
          </cell>
          <cell r="C154" t="str">
            <v>JK</v>
          </cell>
          <cell r="D154" t="str">
            <v>AI</v>
          </cell>
        </row>
        <row r="155">
          <cell r="A155" t="str">
            <v>E2C1137507</v>
          </cell>
          <cell r="B155" t="str">
            <v>H</v>
          </cell>
          <cell r="C155" t="str">
            <v>V1</v>
          </cell>
          <cell r="D155" t="str">
            <v>AI</v>
          </cell>
        </row>
        <row r="156">
          <cell r="A156" t="str">
            <v>E2C1137503</v>
          </cell>
          <cell r="B156" t="str">
            <v>N</v>
          </cell>
          <cell r="C156" t="str">
            <v>SU</v>
          </cell>
          <cell r="D156" t="str">
            <v>OM</v>
          </cell>
        </row>
        <row r="157">
          <cell r="A157" t="str">
            <v>E2C1139805</v>
          </cell>
          <cell r="B157" t="str">
            <v>H</v>
          </cell>
          <cell r="C157" t="str">
            <v>V1</v>
          </cell>
          <cell r="D157" t="str">
            <v>AI</v>
          </cell>
        </row>
        <row r="158">
          <cell r="A158" t="str">
            <v>E2C1139189</v>
          </cell>
          <cell r="B158" t="str">
            <v>N</v>
          </cell>
          <cell r="C158" t="str">
            <v>SU</v>
          </cell>
          <cell r="D158" t="str">
            <v>OM</v>
          </cell>
        </row>
        <row r="159">
          <cell r="A159" t="str">
            <v>E2C1138564</v>
          </cell>
          <cell r="B159" t="str">
            <v>H</v>
          </cell>
          <cell r="C159" t="str">
            <v>CR</v>
          </cell>
          <cell r="D159" t="str">
            <v>AI</v>
          </cell>
        </row>
        <row r="160">
          <cell r="A160" t="str">
            <v>E2C1139133</v>
          </cell>
          <cell r="B160" t="str">
            <v>N</v>
          </cell>
          <cell r="C160" t="str">
            <v>ST</v>
          </cell>
          <cell r="D160" t="str">
            <v>OM</v>
          </cell>
        </row>
        <row r="161">
          <cell r="A161" t="str">
            <v>E2C1139414</v>
          </cell>
          <cell r="B161" t="str">
            <v>F</v>
          </cell>
          <cell r="C161" t="str">
            <v>PD</v>
          </cell>
          <cell r="D161" t="str">
            <v>CHB</v>
          </cell>
        </row>
        <row r="162">
          <cell r="A162" t="str">
            <v>E2C1139416</v>
          </cell>
          <cell r="B162" t="str">
            <v>F</v>
          </cell>
          <cell r="C162" t="str">
            <v>PD</v>
          </cell>
          <cell r="D162" t="str">
            <v>CHB</v>
          </cell>
        </row>
        <row r="163">
          <cell r="A163" t="str">
            <v>E2C1138470</v>
          </cell>
          <cell r="B163" t="str">
            <v>F</v>
          </cell>
          <cell r="C163" t="str">
            <v>PD</v>
          </cell>
          <cell r="D163" t="str">
            <v>CHB</v>
          </cell>
        </row>
        <row r="164">
          <cell r="A164" t="str">
            <v>E2C1138471</v>
          </cell>
          <cell r="B164" t="str">
            <v>F</v>
          </cell>
          <cell r="C164" t="str">
            <v>PD</v>
          </cell>
          <cell r="D164" t="str">
            <v>CHB</v>
          </cell>
        </row>
        <row r="165">
          <cell r="A165" t="str">
            <v>E2C1138473</v>
          </cell>
          <cell r="B165" t="str">
            <v>F</v>
          </cell>
          <cell r="C165" t="str">
            <v>PD</v>
          </cell>
          <cell r="D165" t="str">
            <v>CHB</v>
          </cell>
        </row>
        <row r="166">
          <cell r="A166" t="str">
            <v>E2C1138474</v>
          </cell>
          <cell r="B166" t="str">
            <v>F</v>
          </cell>
          <cell r="C166" t="str">
            <v>PD</v>
          </cell>
          <cell r="D166" t="str">
            <v>CHB</v>
          </cell>
        </row>
        <row r="167">
          <cell r="A167" t="str">
            <v>E2C1138475</v>
          </cell>
          <cell r="B167" t="str">
            <v>F</v>
          </cell>
          <cell r="C167" t="str">
            <v>PD</v>
          </cell>
          <cell r="D167" t="str">
            <v>CHB</v>
          </cell>
        </row>
        <row r="168">
          <cell r="A168" t="str">
            <v>E2C1138476</v>
          </cell>
          <cell r="B168" t="str">
            <v>F</v>
          </cell>
          <cell r="C168" t="str">
            <v>PD</v>
          </cell>
          <cell r="D168" t="str">
            <v>CHB</v>
          </cell>
        </row>
        <row r="169">
          <cell r="A169" t="str">
            <v>E2C1138477</v>
          </cell>
          <cell r="B169" t="str">
            <v>F</v>
          </cell>
          <cell r="C169" t="str">
            <v>PD</v>
          </cell>
          <cell r="D169" t="str">
            <v>CHB</v>
          </cell>
        </row>
        <row r="170">
          <cell r="A170" t="str">
            <v>E2C1138479</v>
          </cell>
          <cell r="B170" t="str">
            <v>F</v>
          </cell>
          <cell r="C170" t="str">
            <v>PD</v>
          </cell>
          <cell r="D170" t="str">
            <v>CHB</v>
          </cell>
        </row>
        <row r="171">
          <cell r="A171" t="str">
            <v>E2C1138481</v>
          </cell>
          <cell r="B171" t="str">
            <v>F</v>
          </cell>
          <cell r="C171" t="str">
            <v>PD</v>
          </cell>
          <cell r="D171" t="str">
            <v>CHB</v>
          </cell>
        </row>
        <row r="172">
          <cell r="A172" t="str">
            <v>E2C1139006</v>
          </cell>
          <cell r="B172" t="str">
            <v>F</v>
          </cell>
          <cell r="C172" t="str">
            <v>PD</v>
          </cell>
          <cell r="D172" t="str">
            <v>CHB</v>
          </cell>
        </row>
        <row r="173">
          <cell r="A173" t="str">
            <v>E2C1139007</v>
          </cell>
          <cell r="B173" t="str">
            <v>F</v>
          </cell>
          <cell r="C173" t="str">
            <v>PD</v>
          </cell>
          <cell r="D173" t="str">
            <v>CHB</v>
          </cell>
        </row>
        <row r="174">
          <cell r="A174" t="str">
            <v>E2C1139008</v>
          </cell>
          <cell r="B174" t="str">
            <v>F</v>
          </cell>
          <cell r="C174" t="str">
            <v>PD</v>
          </cell>
          <cell r="D174" t="str">
            <v>CHB</v>
          </cell>
        </row>
        <row r="175">
          <cell r="A175" t="str">
            <v>E2C1139010</v>
          </cell>
          <cell r="B175" t="str">
            <v>F</v>
          </cell>
          <cell r="C175" t="str">
            <v>PD</v>
          </cell>
          <cell r="D175" t="str">
            <v>CHB</v>
          </cell>
        </row>
        <row r="176">
          <cell r="A176" t="str">
            <v>E2C1139011</v>
          </cell>
          <cell r="B176" t="str">
            <v>F</v>
          </cell>
          <cell r="C176" t="str">
            <v>PD</v>
          </cell>
          <cell r="D176" t="str">
            <v>CHB</v>
          </cell>
        </row>
        <row r="177">
          <cell r="A177" t="str">
            <v>E2C1139012</v>
          </cell>
          <cell r="B177" t="str">
            <v>F</v>
          </cell>
          <cell r="C177" t="str">
            <v>PD</v>
          </cell>
          <cell r="D177" t="str">
            <v>CHB</v>
          </cell>
        </row>
        <row r="178">
          <cell r="A178" t="str">
            <v>E2C1139013</v>
          </cell>
          <cell r="B178" t="str">
            <v>F</v>
          </cell>
          <cell r="C178" t="str">
            <v>PD</v>
          </cell>
          <cell r="D178" t="str">
            <v>CHB</v>
          </cell>
        </row>
        <row r="179">
          <cell r="A179" t="str">
            <v>E2C1139014</v>
          </cell>
          <cell r="B179" t="str">
            <v>F</v>
          </cell>
          <cell r="C179" t="str">
            <v>PD</v>
          </cell>
          <cell r="D179" t="str">
            <v>CHB</v>
          </cell>
        </row>
        <row r="180">
          <cell r="A180" t="str">
            <v>E2C1139016</v>
          </cell>
          <cell r="B180" t="str">
            <v>F</v>
          </cell>
          <cell r="C180" t="str">
            <v>PD</v>
          </cell>
          <cell r="D180" t="str">
            <v>CHB</v>
          </cell>
        </row>
        <row r="181">
          <cell r="A181" t="str">
            <v>E2C1139017</v>
          </cell>
          <cell r="B181" t="str">
            <v>F</v>
          </cell>
          <cell r="C181" t="str">
            <v>PD</v>
          </cell>
          <cell r="D181" t="str">
            <v>CHB</v>
          </cell>
        </row>
        <row r="182">
          <cell r="A182" t="str">
            <v>E2C1139018</v>
          </cell>
          <cell r="B182" t="str">
            <v>F</v>
          </cell>
          <cell r="C182" t="str">
            <v>PD</v>
          </cell>
          <cell r="D182" t="str">
            <v>CHB</v>
          </cell>
        </row>
        <row r="183">
          <cell r="A183" t="str">
            <v>E2C1139019</v>
          </cell>
          <cell r="B183" t="str">
            <v>F</v>
          </cell>
          <cell r="C183" t="str">
            <v>PD</v>
          </cell>
          <cell r="D183" t="str">
            <v>CHB</v>
          </cell>
        </row>
        <row r="184">
          <cell r="A184" t="str">
            <v>E2C1139349</v>
          </cell>
          <cell r="B184" t="str">
            <v>F</v>
          </cell>
          <cell r="C184" t="str">
            <v>PD</v>
          </cell>
          <cell r="D184" t="str">
            <v>CHB</v>
          </cell>
        </row>
        <row r="185">
          <cell r="A185" t="str">
            <v>E2C1139350</v>
          </cell>
          <cell r="B185" t="str">
            <v>F</v>
          </cell>
          <cell r="C185" t="str">
            <v>PD</v>
          </cell>
          <cell r="D185" t="str">
            <v>CHB</v>
          </cell>
        </row>
        <row r="186">
          <cell r="A186" t="str">
            <v>E2C1139351</v>
          </cell>
          <cell r="B186" t="str">
            <v>F</v>
          </cell>
          <cell r="C186" t="str">
            <v>PD</v>
          </cell>
          <cell r="D186" t="str">
            <v>CHB</v>
          </cell>
        </row>
        <row r="187">
          <cell r="A187" t="str">
            <v>E2C1139352</v>
          </cell>
          <cell r="B187" t="str">
            <v>F</v>
          </cell>
          <cell r="C187" t="str">
            <v>PD</v>
          </cell>
          <cell r="D187" t="str">
            <v>CHB</v>
          </cell>
        </row>
        <row r="188">
          <cell r="A188" t="str">
            <v>E2C1139353</v>
          </cell>
          <cell r="B188" t="str">
            <v>F</v>
          </cell>
          <cell r="C188" t="str">
            <v>PD</v>
          </cell>
          <cell r="D188" t="str">
            <v>CHB</v>
          </cell>
        </row>
        <row r="189">
          <cell r="A189" t="str">
            <v>E2C1139354</v>
          </cell>
          <cell r="B189" t="str">
            <v>F</v>
          </cell>
          <cell r="C189" t="str">
            <v>PD</v>
          </cell>
          <cell r="D189" t="str">
            <v>CHB</v>
          </cell>
        </row>
        <row r="190">
          <cell r="A190" t="str">
            <v>E2C1139356</v>
          </cell>
          <cell r="B190" t="str">
            <v>F</v>
          </cell>
          <cell r="C190" t="str">
            <v>PD</v>
          </cell>
          <cell r="D190" t="str">
            <v>CHB</v>
          </cell>
        </row>
        <row r="191">
          <cell r="A191" t="str">
            <v>E2C1139359</v>
          </cell>
          <cell r="B191" t="str">
            <v>F</v>
          </cell>
          <cell r="C191" t="str">
            <v>PD</v>
          </cell>
          <cell r="D191" t="str">
            <v>CHB</v>
          </cell>
        </row>
        <row r="192">
          <cell r="A192" t="str">
            <v>E2C1139355</v>
          </cell>
          <cell r="B192" t="str">
            <v>F</v>
          </cell>
          <cell r="C192" t="str">
            <v>PD</v>
          </cell>
          <cell r="D192" t="str">
            <v>CHB</v>
          </cell>
        </row>
        <row r="193">
          <cell r="A193" t="str">
            <v>E2C1139358</v>
          </cell>
          <cell r="B193" t="str">
            <v>F</v>
          </cell>
          <cell r="C193" t="str">
            <v>PD</v>
          </cell>
          <cell r="D193" t="str">
            <v>CHB</v>
          </cell>
        </row>
        <row r="194">
          <cell r="A194" t="str">
            <v>E2C1139360</v>
          </cell>
          <cell r="B194" t="str">
            <v>F</v>
          </cell>
          <cell r="C194" t="str">
            <v>PD</v>
          </cell>
          <cell r="D194" t="str">
            <v>CHB</v>
          </cell>
        </row>
        <row r="195">
          <cell r="A195" t="str">
            <v>E2C1139413</v>
          </cell>
          <cell r="B195" t="str">
            <v>F</v>
          </cell>
          <cell r="C195" t="str">
            <v>PD</v>
          </cell>
          <cell r="D195" t="str">
            <v>CHB</v>
          </cell>
        </row>
        <row r="196">
          <cell r="A196" t="str">
            <v>E2C1139403</v>
          </cell>
          <cell r="B196" t="str">
            <v>F</v>
          </cell>
          <cell r="C196" t="str">
            <v>PD</v>
          </cell>
          <cell r="D196" t="str">
            <v>CHB</v>
          </cell>
        </row>
        <row r="197">
          <cell r="A197" t="str">
            <v>E2C1139404</v>
          </cell>
          <cell r="B197" t="str">
            <v>F</v>
          </cell>
          <cell r="C197" t="str">
            <v>PD</v>
          </cell>
          <cell r="D197" t="str">
            <v>CHB</v>
          </cell>
        </row>
        <row r="198">
          <cell r="A198" t="str">
            <v>E2C1139405</v>
          </cell>
          <cell r="B198" t="str">
            <v>F</v>
          </cell>
          <cell r="C198" t="str">
            <v>PD</v>
          </cell>
          <cell r="D198" t="str">
            <v>CHB</v>
          </cell>
        </row>
        <row r="199">
          <cell r="A199" t="str">
            <v>E2C1139406</v>
          </cell>
          <cell r="B199" t="str">
            <v>F</v>
          </cell>
          <cell r="C199" t="str">
            <v>PD</v>
          </cell>
          <cell r="D199" t="str">
            <v>CHB</v>
          </cell>
        </row>
        <row r="200">
          <cell r="A200" t="str">
            <v>E2C1139407</v>
          </cell>
          <cell r="B200" t="str">
            <v>F</v>
          </cell>
          <cell r="C200" t="str">
            <v>PD</v>
          </cell>
          <cell r="D200" t="str">
            <v>CHB</v>
          </cell>
        </row>
        <row r="201">
          <cell r="A201" t="str">
            <v>E2C1139409</v>
          </cell>
          <cell r="B201" t="str">
            <v>F</v>
          </cell>
          <cell r="C201" t="str">
            <v>PD</v>
          </cell>
          <cell r="D201" t="str">
            <v>CHB</v>
          </cell>
        </row>
        <row r="202">
          <cell r="A202" t="str">
            <v>E2C1139410</v>
          </cell>
          <cell r="B202" t="str">
            <v>F</v>
          </cell>
          <cell r="C202" t="str">
            <v>PD</v>
          </cell>
          <cell r="D202" t="str">
            <v>CHB</v>
          </cell>
        </row>
        <row r="203">
          <cell r="A203" t="str">
            <v>E2C1139411</v>
          </cell>
          <cell r="B203" t="str">
            <v>F</v>
          </cell>
          <cell r="C203" t="str">
            <v>PD</v>
          </cell>
          <cell r="D203" t="str">
            <v>CHB</v>
          </cell>
        </row>
        <row r="204">
          <cell r="A204" t="str">
            <v>E2C1139417</v>
          </cell>
          <cell r="B204" t="str">
            <v>F</v>
          </cell>
          <cell r="C204" t="str">
            <v>PD</v>
          </cell>
          <cell r="D204" t="str">
            <v>CHB</v>
          </cell>
        </row>
        <row r="205">
          <cell r="A205" t="str">
            <v>E2C1139418</v>
          </cell>
          <cell r="B205" t="str">
            <v>F</v>
          </cell>
          <cell r="C205" t="str">
            <v>PD</v>
          </cell>
          <cell r="D205" t="str">
            <v>CHB</v>
          </cell>
        </row>
        <row r="206">
          <cell r="A206" t="str">
            <v>E2C1139419</v>
          </cell>
          <cell r="B206" t="str">
            <v>F</v>
          </cell>
          <cell r="C206" t="str">
            <v>PD</v>
          </cell>
          <cell r="D206" t="str">
            <v>CHB</v>
          </cell>
        </row>
        <row r="207">
          <cell r="A207" t="str">
            <v>E2C1138478</v>
          </cell>
          <cell r="B207" t="str">
            <v>N</v>
          </cell>
          <cell r="C207" t="str">
            <v>AJ</v>
          </cell>
          <cell r="D207" t="str">
            <v>OE</v>
          </cell>
        </row>
        <row r="208">
          <cell r="A208" t="str">
            <v>E2C1138480</v>
          </cell>
          <cell r="B208" t="str">
            <v>N</v>
          </cell>
          <cell r="C208" t="str">
            <v>AJ</v>
          </cell>
          <cell r="D208" t="str">
            <v>OE</v>
          </cell>
        </row>
        <row r="209">
          <cell r="A209" t="str">
            <v>E2C1139895</v>
          </cell>
          <cell r="B209" t="str">
            <v>N</v>
          </cell>
          <cell r="C209" t="str">
            <v>GL</v>
          </cell>
          <cell r="D209" t="str">
            <v>OE</v>
          </cell>
        </row>
        <row r="210">
          <cell r="A210" t="str">
            <v>E2C1138140</v>
          </cell>
          <cell r="B210" t="str">
            <v>N</v>
          </cell>
          <cell r="C210" t="str">
            <v>C1</v>
          </cell>
          <cell r="D210" t="str">
            <v>OM</v>
          </cell>
        </row>
        <row r="211">
          <cell r="A211" t="str">
            <v>E2C1138357</v>
          </cell>
          <cell r="B211" t="str">
            <v>F</v>
          </cell>
          <cell r="C211" t="str">
            <v>SY</v>
          </cell>
          <cell r="D211" t="str">
            <v>CHB</v>
          </cell>
        </row>
        <row r="212">
          <cell r="A212" t="str">
            <v>E2C1139905</v>
          </cell>
          <cell r="B212" t="str">
            <v>N</v>
          </cell>
          <cell r="C212" t="str">
            <v>GL</v>
          </cell>
          <cell r="D212" t="str">
            <v>OE</v>
          </cell>
        </row>
        <row r="213">
          <cell r="A213" t="str">
            <v>E2C1137510</v>
          </cell>
          <cell r="B213" t="str">
            <v>H</v>
          </cell>
          <cell r="C213" t="str">
            <v>V1</v>
          </cell>
          <cell r="D213" t="str">
            <v>AI</v>
          </cell>
        </row>
        <row r="214">
          <cell r="A214" t="str">
            <v>E2C1139303</v>
          </cell>
          <cell r="B214" t="str">
            <v>I</v>
          </cell>
          <cell r="C214" t="str">
            <v>MH</v>
          </cell>
          <cell r="D214" t="str">
            <v>CHB</v>
          </cell>
        </row>
        <row r="215">
          <cell r="A215" t="str">
            <v>E2C1139310</v>
          </cell>
          <cell r="B215" t="str">
            <v>I</v>
          </cell>
          <cell r="C215" t="str">
            <v>MH</v>
          </cell>
          <cell r="D215" t="str">
            <v>CHB</v>
          </cell>
        </row>
        <row r="216">
          <cell r="A216" t="str">
            <v>C12989120</v>
          </cell>
          <cell r="B216" t="str">
            <v>H</v>
          </cell>
          <cell r="C216" t="str">
            <v>V1</v>
          </cell>
          <cell r="D216" t="str">
            <v>AI</v>
          </cell>
        </row>
        <row r="217">
          <cell r="A217" t="str">
            <v>E2C1138958</v>
          </cell>
          <cell r="B217" t="str">
            <v>N</v>
          </cell>
          <cell r="C217" t="str">
            <v>ST</v>
          </cell>
          <cell r="D217" t="str">
            <v>OM</v>
          </cell>
        </row>
        <row r="218">
          <cell r="A218" t="str">
            <v>E2C1138726</v>
          </cell>
          <cell r="B218" t="str">
            <v>I</v>
          </cell>
          <cell r="C218" t="str">
            <v>SY</v>
          </cell>
          <cell r="D218" t="str">
            <v>CHB</v>
          </cell>
        </row>
        <row r="219">
          <cell r="A219" t="str">
            <v>E2C1138724</v>
          </cell>
          <cell r="B219" t="str">
            <v>I</v>
          </cell>
          <cell r="C219" t="str">
            <v>SY</v>
          </cell>
          <cell r="D219" t="str">
            <v>CHB</v>
          </cell>
        </row>
        <row r="220">
          <cell r="A220" t="str">
            <v>E2C1138730</v>
          </cell>
          <cell r="B220" t="str">
            <v>I</v>
          </cell>
          <cell r="C220" t="str">
            <v>SY</v>
          </cell>
          <cell r="D220" t="str">
            <v>CHB</v>
          </cell>
        </row>
        <row r="221">
          <cell r="A221" t="str">
            <v>E2C1139015</v>
          </cell>
          <cell r="B221" t="str">
            <v>F</v>
          </cell>
          <cell r="C221" t="str">
            <v>SY</v>
          </cell>
          <cell r="D221" t="str">
            <v>CHB</v>
          </cell>
        </row>
        <row r="222">
          <cell r="A222" t="str">
            <v>E2C1138722</v>
          </cell>
          <cell r="B222" t="str">
            <v>N</v>
          </cell>
          <cell r="C222" t="str">
            <v>GL</v>
          </cell>
          <cell r="D222" t="str">
            <v>OE</v>
          </cell>
        </row>
        <row r="223">
          <cell r="A223" t="str">
            <v>E2C1139000</v>
          </cell>
          <cell r="B223" t="str">
            <v>I</v>
          </cell>
          <cell r="C223" t="str">
            <v>SY</v>
          </cell>
          <cell r="D223" t="str">
            <v>CHB</v>
          </cell>
        </row>
        <row r="224">
          <cell r="A224" t="str">
            <v>E2C1138628</v>
          </cell>
          <cell r="B224" t="str">
            <v>N</v>
          </cell>
          <cell r="C224" t="str">
            <v>ST</v>
          </cell>
          <cell r="D224" t="str">
            <v>OM</v>
          </cell>
        </row>
        <row r="225">
          <cell r="A225" t="str">
            <v>E2C1137697</v>
          </cell>
          <cell r="B225" t="str">
            <v>H</v>
          </cell>
          <cell r="C225" t="str">
            <v>JK</v>
          </cell>
          <cell r="D225" t="str">
            <v>AI</v>
          </cell>
        </row>
        <row r="226">
          <cell r="A226" t="str">
            <v>E2C1138515</v>
          </cell>
          <cell r="B226" t="str">
            <v>N</v>
          </cell>
          <cell r="C226" t="str">
            <v>AT</v>
          </cell>
          <cell r="D226" t="str">
            <v>oe</v>
          </cell>
        </row>
        <row r="227">
          <cell r="A227" t="str">
            <v>E2C1139886</v>
          </cell>
          <cell r="B227" t="str">
            <v>N</v>
          </cell>
          <cell r="C227" t="str">
            <v>AJ</v>
          </cell>
          <cell r="D227" t="str">
            <v>OE</v>
          </cell>
        </row>
        <row r="228">
          <cell r="A228" t="str">
            <v>E2C1137496</v>
          </cell>
          <cell r="B228" t="str">
            <v>N</v>
          </cell>
          <cell r="C228" t="str">
            <v>ST</v>
          </cell>
          <cell r="D228" t="str">
            <v>OM</v>
          </cell>
        </row>
        <row r="229">
          <cell r="A229" t="str">
            <v>E2C1138915</v>
          </cell>
          <cell r="B229" t="str">
            <v>N</v>
          </cell>
          <cell r="C229" t="str">
            <v>AJ</v>
          </cell>
          <cell r="D229" t="str">
            <v>OE</v>
          </cell>
        </row>
        <row r="230">
          <cell r="A230" t="str">
            <v>E2C1137502</v>
          </cell>
          <cell r="B230" t="str">
            <v>N</v>
          </cell>
          <cell r="C230" t="str">
            <v>ST</v>
          </cell>
          <cell r="D230" t="str">
            <v>OM</v>
          </cell>
        </row>
        <row r="231">
          <cell r="A231" t="str">
            <v>E2C1138670</v>
          </cell>
          <cell r="B231" t="str">
            <v>N</v>
          </cell>
          <cell r="C231" t="str">
            <v>AJ</v>
          </cell>
          <cell r="D231" t="str">
            <v>OE</v>
          </cell>
        </row>
        <row r="232">
          <cell r="A232" t="str">
            <v>E2C1138728</v>
          </cell>
          <cell r="B232" t="str">
            <v>I</v>
          </cell>
          <cell r="C232" t="str">
            <v>SY</v>
          </cell>
          <cell r="D232" t="str">
            <v>CHB</v>
          </cell>
        </row>
        <row r="233">
          <cell r="A233" t="str">
            <v>E2C1139021</v>
          </cell>
          <cell r="B233" t="str">
            <v>N</v>
          </cell>
          <cell r="C233" t="str">
            <v>AJ</v>
          </cell>
          <cell r="D233" t="str">
            <v>OE</v>
          </cell>
        </row>
        <row r="234">
          <cell r="A234" t="str">
            <v>E2C1138435</v>
          </cell>
          <cell r="B234" t="str">
            <v>I</v>
          </cell>
          <cell r="C234" t="str">
            <v>MH</v>
          </cell>
          <cell r="D234" t="str">
            <v>CHB</v>
          </cell>
        </row>
        <row r="235">
          <cell r="A235" t="str">
            <v>E2C1139370</v>
          </cell>
          <cell r="B235" t="str">
            <v>I</v>
          </cell>
          <cell r="C235" t="str">
            <v>MH</v>
          </cell>
          <cell r="D235" t="str">
            <v>CHB</v>
          </cell>
        </row>
        <row r="236">
          <cell r="A236" t="str">
            <v>E2C1138773</v>
          </cell>
          <cell r="B236" t="str">
            <v>I</v>
          </cell>
          <cell r="C236" t="str">
            <v>SY</v>
          </cell>
          <cell r="D236" t="str">
            <v>CHB</v>
          </cell>
        </row>
        <row r="237">
          <cell r="A237" t="str">
            <v>E2C1139301</v>
          </cell>
          <cell r="B237" t="str">
            <v>I</v>
          </cell>
          <cell r="C237" t="str">
            <v>MH</v>
          </cell>
          <cell r="D237" t="str">
            <v>CHB</v>
          </cell>
        </row>
        <row r="238">
          <cell r="A238" t="str">
            <v>E2C1137909</v>
          </cell>
          <cell r="B238" t="str">
            <v>N</v>
          </cell>
          <cell r="C238" t="str">
            <v>A1</v>
          </cell>
          <cell r="D238" t="str">
            <v>OM</v>
          </cell>
        </row>
        <row r="239">
          <cell r="A239" t="str">
            <v>E2C1137501</v>
          </cell>
          <cell r="B239" t="str">
            <v>N</v>
          </cell>
          <cell r="C239" t="str">
            <v>SU</v>
          </cell>
          <cell r="D239" t="str">
            <v>OM</v>
          </cell>
        </row>
        <row r="240">
          <cell r="A240" t="str">
            <v>E2C1138448</v>
          </cell>
          <cell r="B240" t="str">
            <v>I</v>
          </cell>
          <cell r="C240" t="str">
            <v>MH</v>
          </cell>
          <cell r="D240" t="str">
            <v>CHB</v>
          </cell>
        </row>
        <row r="241">
          <cell r="A241" t="str">
            <v>E2C1138323</v>
          </cell>
          <cell r="B241" t="str">
            <v>F</v>
          </cell>
          <cell r="C241" t="str">
            <v>SY</v>
          </cell>
          <cell r="D241" t="str">
            <v>CHB</v>
          </cell>
        </row>
        <row r="242">
          <cell r="A242" t="str">
            <v>E2C1138664</v>
          </cell>
          <cell r="B242" t="str">
            <v>N</v>
          </cell>
          <cell r="C242" t="str">
            <v>ST</v>
          </cell>
          <cell r="D242" t="str">
            <v>OM</v>
          </cell>
        </row>
        <row r="243">
          <cell r="A243" t="str">
            <v>E2C1138099</v>
          </cell>
          <cell r="B243" t="str">
            <v>N</v>
          </cell>
          <cell r="C243" t="str">
            <v>AT</v>
          </cell>
          <cell r="D243" t="str">
            <v>oe</v>
          </cell>
        </row>
        <row r="244">
          <cell r="A244" t="str">
            <v>E2C1139723</v>
          </cell>
          <cell r="B244" t="str">
            <v>H</v>
          </cell>
          <cell r="C244" t="str">
            <v>V1</v>
          </cell>
          <cell r="D244" t="str">
            <v>AI</v>
          </cell>
        </row>
        <row r="245">
          <cell r="A245" t="str">
            <v>E2C1138575</v>
          </cell>
          <cell r="B245" t="str">
            <v>H</v>
          </cell>
          <cell r="C245" t="str">
            <v>JK</v>
          </cell>
          <cell r="D245" t="str">
            <v>AI</v>
          </cell>
        </row>
        <row r="246">
          <cell r="A246" t="str">
            <v>E2C1138271</v>
          </cell>
          <cell r="B246" t="str">
            <v>F</v>
          </cell>
          <cell r="C246" t="str">
            <v>SY</v>
          </cell>
          <cell r="D246" t="str">
            <v>CHB</v>
          </cell>
        </row>
        <row r="247">
          <cell r="A247" t="str">
            <v>E2C1139162</v>
          </cell>
          <cell r="B247" t="str">
            <v>N</v>
          </cell>
          <cell r="C247" t="str">
            <v>SU</v>
          </cell>
          <cell r="D247" t="str">
            <v>OM</v>
          </cell>
        </row>
        <row r="248">
          <cell r="A248" t="str">
            <v>E2C1139871</v>
          </cell>
          <cell r="B248" t="str">
            <v>N</v>
          </cell>
          <cell r="C248" t="str">
            <v>GL</v>
          </cell>
          <cell r="D248" t="str">
            <v>OE</v>
          </cell>
        </row>
        <row r="249">
          <cell r="A249" t="str">
            <v>E2C1137498</v>
          </cell>
          <cell r="B249" t="str">
            <v>N</v>
          </cell>
          <cell r="C249" t="str">
            <v>ST</v>
          </cell>
          <cell r="D249" t="str">
            <v>OM</v>
          </cell>
        </row>
        <row r="250">
          <cell r="A250" t="str">
            <v>E2C1138821</v>
          </cell>
          <cell r="B250" t="str">
            <v>H</v>
          </cell>
          <cell r="C250" t="str">
            <v>JK</v>
          </cell>
          <cell r="D250" t="str">
            <v>AI</v>
          </cell>
        </row>
        <row r="251">
          <cell r="A251" t="str">
            <v>E2C1138817</v>
          </cell>
          <cell r="B251" t="str">
            <v>H</v>
          </cell>
          <cell r="C251" t="str">
            <v>JK</v>
          </cell>
          <cell r="D251" t="str">
            <v>AI</v>
          </cell>
        </row>
        <row r="252">
          <cell r="A252" t="str">
            <v>E2C1139484</v>
          </cell>
          <cell r="B252" t="str">
            <v>I</v>
          </cell>
          <cell r="C252" t="str">
            <v>MH</v>
          </cell>
          <cell r="D252" t="str">
            <v>CHB</v>
          </cell>
        </row>
        <row r="253">
          <cell r="A253" t="str">
            <v>E2C1139580</v>
          </cell>
          <cell r="B253" t="str">
            <v>N</v>
          </cell>
          <cell r="C253" t="str">
            <v>SS</v>
          </cell>
          <cell r="D253" t="str">
            <v>OM</v>
          </cell>
        </row>
        <row r="254">
          <cell r="A254" t="str">
            <v>E2C1137497</v>
          </cell>
          <cell r="B254" t="str">
            <v>N</v>
          </cell>
          <cell r="C254" t="str">
            <v>ST</v>
          </cell>
          <cell r="D254" t="str">
            <v>OM</v>
          </cell>
        </row>
        <row r="255">
          <cell r="A255" t="str">
            <v>E2C1139431</v>
          </cell>
          <cell r="B255" t="str">
            <v>N</v>
          </cell>
          <cell r="C255" t="str">
            <v>SS</v>
          </cell>
          <cell r="D255" t="str">
            <v>OM</v>
          </cell>
        </row>
        <row r="256">
          <cell r="A256" t="str">
            <v>E2C1139434</v>
          </cell>
          <cell r="B256" t="str">
            <v>N</v>
          </cell>
          <cell r="C256" t="str">
            <v>SS</v>
          </cell>
          <cell r="D256" t="str">
            <v>OM</v>
          </cell>
        </row>
        <row r="257">
          <cell r="A257" t="str">
            <v>E2C1138380</v>
          </cell>
          <cell r="B257" t="str">
            <v>N</v>
          </cell>
          <cell r="C257" t="str">
            <v>GL</v>
          </cell>
          <cell r="D257" t="str">
            <v>OE</v>
          </cell>
        </row>
        <row r="258">
          <cell r="A258" t="str">
            <v>E2C1139170</v>
          </cell>
          <cell r="B258" t="str">
            <v>N</v>
          </cell>
          <cell r="C258" t="str">
            <v>SU</v>
          </cell>
          <cell r="D258" t="str">
            <v>OM</v>
          </cell>
        </row>
        <row r="259">
          <cell r="A259" t="str">
            <v>E2C1139180</v>
          </cell>
          <cell r="B259" t="str">
            <v>N</v>
          </cell>
          <cell r="C259" t="str">
            <v>SU</v>
          </cell>
          <cell r="D259" t="str">
            <v>OM</v>
          </cell>
        </row>
        <row r="260">
          <cell r="A260" t="str">
            <v>E2C1139181</v>
          </cell>
          <cell r="B260" t="str">
            <v>N</v>
          </cell>
          <cell r="C260" t="str">
            <v>SU</v>
          </cell>
          <cell r="D260" t="str">
            <v>OM</v>
          </cell>
        </row>
        <row r="261">
          <cell r="A261" t="str">
            <v>E2C1139182</v>
          </cell>
          <cell r="B261" t="str">
            <v>N</v>
          </cell>
          <cell r="C261" t="str">
            <v>SU</v>
          </cell>
          <cell r="D261" t="str">
            <v>OM</v>
          </cell>
        </row>
        <row r="262">
          <cell r="A262" t="str">
            <v>E2C1139183</v>
          </cell>
          <cell r="B262" t="str">
            <v>N</v>
          </cell>
          <cell r="C262" t="str">
            <v>SU</v>
          </cell>
          <cell r="D262" t="str">
            <v>OM</v>
          </cell>
        </row>
        <row r="263">
          <cell r="A263" t="str">
            <v>E2C1139185</v>
          </cell>
          <cell r="B263" t="str">
            <v>N</v>
          </cell>
          <cell r="C263" t="str">
            <v>SU</v>
          </cell>
          <cell r="D263" t="str">
            <v>OM</v>
          </cell>
        </row>
        <row r="264">
          <cell r="A264" t="str">
            <v>E2C1139241</v>
          </cell>
          <cell r="B264" t="str">
            <v>N</v>
          </cell>
          <cell r="C264" t="str">
            <v>SU</v>
          </cell>
          <cell r="D264" t="str">
            <v>OM</v>
          </cell>
        </row>
        <row r="265">
          <cell r="A265" t="str">
            <v>E2C1139243</v>
          </cell>
          <cell r="B265" t="str">
            <v>N</v>
          </cell>
          <cell r="C265" t="str">
            <v>SU</v>
          </cell>
          <cell r="D265" t="str">
            <v>OM</v>
          </cell>
        </row>
        <row r="266">
          <cell r="A266" t="str">
            <v>E2C1138434</v>
          </cell>
          <cell r="B266" t="str">
            <v>F</v>
          </cell>
          <cell r="C266" t="str">
            <v>SY</v>
          </cell>
          <cell r="D266" t="str">
            <v>CHB</v>
          </cell>
        </row>
        <row r="267">
          <cell r="A267" t="str">
            <v>E2C1139171</v>
          </cell>
          <cell r="B267" t="str">
            <v>N</v>
          </cell>
          <cell r="C267" t="str">
            <v>SU</v>
          </cell>
          <cell r="D267" t="str">
            <v>OM</v>
          </cell>
        </row>
        <row r="268">
          <cell r="A268" t="str">
            <v>E2C1138732</v>
          </cell>
          <cell r="B268" t="str">
            <v>I</v>
          </cell>
          <cell r="C268" t="str">
            <v>SY</v>
          </cell>
          <cell r="D268" t="str">
            <v>CHB</v>
          </cell>
        </row>
        <row r="269">
          <cell r="A269" t="str">
            <v>E2C1138637</v>
          </cell>
          <cell r="B269" t="str">
            <v>N</v>
          </cell>
          <cell r="C269" t="str">
            <v>ST</v>
          </cell>
          <cell r="D269" t="str">
            <v>OM</v>
          </cell>
        </row>
        <row r="270">
          <cell r="A270" t="str">
            <v>E2C1139527</v>
          </cell>
          <cell r="B270" t="str">
            <v>N</v>
          </cell>
          <cell r="C270" t="str">
            <v>SU</v>
          </cell>
          <cell r="D270" t="str">
            <v>OM</v>
          </cell>
        </row>
        <row r="271">
          <cell r="A271" t="str">
            <v>E2C1138296</v>
          </cell>
          <cell r="B271" t="str">
            <v>I</v>
          </cell>
          <cell r="C271" t="str">
            <v>PD</v>
          </cell>
          <cell r="D271" t="str">
            <v>CHB</v>
          </cell>
        </row>
        <row r="272">
          <cell r="A272" t="str">
            <v>E2C1138270</v>
          </cell>
          <cell r="B272" t="str">
            <v>I</v>
          </cell>
          <cell r="C272" t="str">
            <v>MH</v>
          </cell>
          <cell r="D272" t="str">
            <v>CHB</v>
          </cell>
        </row>
        <row r="273">
          <cell r="A273" t="str">
            <v>E2C1137736</v>
          </cell>
          <cell r="B273" t="str">
            <v>H</v>
          </cell>
          <cell r="C273" t="str">
            <v>V1</v>
          </cell>
          <cell r="D273" t="str">
            <v>AI</v>
          </cell>
        </row>
        <row r="274">
          <cell r="A274" t="str">
            <v>E2C1138077</v>
          </cell>
          <cell r="B274" t="str">
            <v>H</v>
          </cell>
          <cell r="C274" t="str">
            <v>JK</v>
          </cell>
          <cell r="D274" t="str">
            <v>AI</v>
          </cell>
        </row>
        <row r="275">
          <cell r="A275" t="str">
            <v>E2C1137737</v>
          </cell>
          <cell r="B275" t="str">
            <v>H</v>
          </cell>
          <cell r="C275" t="str">
            <v>V1</v>
          </cell>
          <cell r="D275" t="str">
            <v>AI</v>
          </cell>
        </row>
        <row r="276">
          <cell r="A276" t="str">
            <v>E2C1137680</v>
          </cell>
          <cell r="B276" t="str">
            <v>H</v>
          </cell>
          <cell r="C276" t="str">
            <v>V1</v>
          </cell>
          <cell r="D276" t="str">
            <v>AI</v>
          </cell>
        </row>
        <row r="277">
          <cell r="A277" t="str">
            <v>E2C1137708</v>
          </cell>
          <cell r="B277" t="str">
            <v>H</v>
          </cell>
          <cell r="C277" t="str">
            <v>V1</v>
          </cell>
          <cell r="D277" t="str">
            <v>AI</v>
          </cell>
        </row>
        <row r="278">
          <cell r="A278" t="str">
            <v>E2C1138536</v>
          </cell>
          <cell r="B278" t="str">
            <v>F</v>
          </cell>
          <cell r="C278" t="str">
            <v>MH</v>
          </cell>
          <cell r="D278" t="str">
            <v>CHB</v>
          </cell>
        </row>
        <row r="279">
          <cell r="A279" t="str">
            <v>E2C1137720</v>
          </cell>
          <cell r="B279" t="str">
            <v>H</v>
          </cell>
          <cell r="C279" t="str">
            <v>V1</v>
          </cell>
          <cell r="D279" t="str">
            <v>AI</v>
          </cell>
        </row>
        <row r="280">
          <cell r="A280" t="str">
            <v>E2C1137684</v>
          </cell>
          <cell r="B280" t="str">
            <v>H</v>
          </cell>
          <cell r="C280" t="str">
            <v>V1</v>
          </cell>
          <cell r="D280" t="str">
            <v>AI</v>
          </cell>
        </row>
        <row r="281">
          <cell r="A281" t="str">
            <v>E2C1138838</v>
          </cell>
          <cell r="B281" t="str">
            <v>H</v>
          </cell>
          <cell r="C281" t="str">
            <v>JK</v>
          </cell>
          <cell r="D281" t="str">
            <v>AI</v>
          </cell>
        </row>
        <row r="282">
          <cell r="A282" t="str">
            <v>E2C1138482</v>
          </cell>
          <cell r="B282" t="str">
            <v>H</v>
          </cell>
          <cell r="C282" t="str">
            <v>VJ</v>
          </cell>
          <cell r="D282" t="str">
            <v>OI</v>
          </cell>
        </row>
        <row r="283">
          <cell r="A283" t="str">
            <v>E2C1137732</v>
          </cell>
          <cell r="B283" t="str">
            <v>H</v>
          </cell>
          <cell r="C283" t="str">
            <v>V1</v>
          </cell>
          <cell r="D283" t="str">
            <v>AI</v>
          </cell>
        </row>
        <row r="284">
          <cell r="A284" t="str">
            <v>E2C1137506</v>
          </cell>
          <cell r="B284" t="str">
            <v>N</v>
          </cell>
          <cell r="C284" t="str">
            <v>SU</v>
          </cell>
          <cell r="D284" t="str">
            <v>OM</v>
          </cell>
        </row>
        <row r="285">
          <cell r="A285" t="str">
            <v>E2C1137858</v>
          </cell>
          <cell r="B285" t="str">
            <v>H</v>
          </cell>
          <cell r="C285" t="str">
            <v>V1</v>
          </cell>
          <cell r="D285" t="str">
            <v>AI</v>
          </cell>
        </row>
        <row r="286">
          <cell r="A286" t="str">
            <v>E2C1139429</v>
          </cell>
          <cell r="B286" t="str">
            <v>N</v>
          </cell>
          <cell r="C286" t="str">
            <v>SS</v>
          </cell>
          <cell r="D286" t="str">
            <v>OM</v>
          </cell>
        </row>
        <row r="287">
          <cell r="A287" t="str">
            <v>E2C1138738</v>
          </cell>
          <cell r="B287" t="str">
            <v>I</v>
          </cell>
          <cell r="C287" t="str">
            <v>SY</v>
          </cell>
          <cell r="D287" t="str">
            <v>CHB</v>
          </cell>
        </row>
        <row r="288">
          <cell r="A288" t="str">
            <v>E2C1137793</v>
          </cell>
          <cell r="B288" t="str">
            <v>N</v>
          </cell>
          <cell r="C288" t="str">
            <v>ST</v>
          </cell>
          <cell r="D288" t="str">
            <v>OM</v>
          </cell>
        </row>
        <row r="289">
          <cell r="A289" t="str">
            <v>E2C1137716</v>
          </cell>
          <cell r="B289" t="str">
            <v>H</v>
          </cell>
          <cell r="C289" t="str">
            <v>V1</v>
          </cell>
          <cell r="D289" t="str">
            <v>AI</v>
          </cell>
        </row>
        <row r="290">
          <cell r="A290" t="str">
            <v>E2C1139125</v>
          </cell>
          <cell r="B290" t="str">
            <v>N</v>
          </cell>
          <cell r="C290" t="str">
            <v>ST</v>
          </cell>
          <cell r="D290" t="str">
            <v>OM</v>
          </cell>
        </row>
        <row r="291">
          <cell r="A291" t="str">
            <v>E2C1137687</v>
          </cell>
          <cell r="B291" t="str">
            <v>H</v>
          </cell>
          <cell r="C291" t="str">
            <v>V1</v>
          </cell>
          <cell r="D291" t="str">
            <v>AI</v>
          </cell>
        </row>
        <row r="292">
          <cell r="A292" t="str">
            <v>E2C1139870</v>
          </cell>
          <cell r="B292" t="str">
            <v>N</v>
          </cell>
          <cell r="C292" t="str">
            <v>GL</v>
          </cell>
          <cell r="D292" t="str">
            <v>OE</v>
          </cell>
        </row>
        <row r="293">
          <cell r="A293" t="str">
            <v>E2C1137693</v>
          </cell>
          <cell r="B293" t="str">
            <v>H</v>
          </cell>
          <cell r="C293" t="str">
            <v>V1</v>
          </cell>
          <cell r="D293" t="str">
            <v>AI</v>
          </cell>
        </row>
        <row r="294">
          <cell r="A294" t="str">
            <v>E2C1137735</v>
          </cell>
          <cell r="B294" t="str">
            <v>H</v>
          </cell>
          <cell r="C294" t="str">
            <v>V1</v>
          </cell>
          <cell r="D294" t="str">
            <v>AI</v>
          </cell>
        </row>
        <row r="295">
          <cell r="A295" t="str">
            <v>E2C1138382</v>
          </cell>
          <cell r="B295" t="str">
            <v>N</v>
          </cell>
          <cell r="C295" t="str">
            <v>AT</v>
          </cell>
          <cell r="D295" t="str">
            <v>oe</v>
          </cell>
        </row>
        <row r="296">
          <cell r="A296" t="str">
            <v>E2C1138627</v>
          </cell>
          <cell r="B296" t="str">
            <v>N</v>
          </cell>
          <cell r="C296" t="str">
            <v>ST</v>
          </cell>
          <cell r="D296" t="str">
            <v>OM</v>
          </cell>
        </row>
        <row r="297">
          <cell r="A297" t="str">
            <v>E2C1137490</v>
          </cell>
          <cell r="B297" t="str">
            <v>H</v>
          </cell>
          <cell r="C297" t="str">
            <v>V1</v>
          </cell>
          <cell r="D297" t="str">
            <v>AI</v>
          </cell>
        </row>
        <row r="298">
          <cell r="A298" t="str">
            <v>E2C1139891</v>
          </cell>
          <cell r="B298" t="str">
            <v>N</v>
          </cell>
          <cell r="C298" t="str">
            <v>GL</v>
          </cell>
          <cell r="D298" t="str">
            <v>OE</v>
          </cell>
        </row>
        <row r="299">
          <cell r="A299" t="str">
            <v>E2C1138820</v>
          </cell>
          <cell r="B299" t="str">
            <v>H</v>
          </cell>
          <cell r="C299" t="str">
            <v>JK</v>
          </cell>
          <cell r="D299" t="str">
            <v>AI</v>
          </cell>
        </row>
        <row r="300">
          <cell r="A300" t="str">
            <v>E2C1137698</v>
          </cell>
          <cell r="B300" t="str">
            <v>H</v>
          </cell>
          <cell r="C300" t="str">
            <v>JK</v>
          </cell>
          <cell r="D300" t="str">
            <v>AI</v>
          </cell>
        </row>
        <row r="301">
          <cell r="A301" t="str">
            <v>E2C1138525</v>
          </cell>
          <cell r="B301" t="str">
            <v>N</v>
          </cell>
          <cell r="C301" t="str">
            <v>ST</v>
          </cell>
          <cell r="D301" t="str">
            <v>OM</v>
          </cell>
        </row>
        <row r="302">
          <cell r="A302" t="str">
            <v>E2C1137770</v>
          </cell>
          <cell r="B302" t="str">
            <v>F</v>
          </cell>
          <cell r="C302" t="str">
            <v>PD</v>
          </cell>
          <cell r="D302" t="str">
            <v>CHB</v>
          </cell>
        </row>
        <row r="303">
          <cell r="A303" t="str">
            <v>E2C1139617</v>
          </cell>
          <cell r="B303" t="str">
            <v>N</v>
          </cell>
          <cell r="C303" t="str">
            <v>AJ</v>
          </cell>
          <cell r="D303" t="str">
            <v>OE</v>
          </cell>
        </row>
        <row r="304">
          <cell r="A304" t="str">
            <v>E2C1139573</v>
          </cell>
          <cell r="B304" t="str">
            <v>N</v>
          </cell>
          <cell r="C304" t="str">
            <v>AT</v>
          </cell>
          <cell r="D304" t="str">
            <v>oe</v>
          </cell>
        </row>
        <row r="305">
          <cell r="A305" t="str">
            <v>E2C1137701</v>
          </cell>
          <cell r="B305" t="str">
            <v>H</v>
          </cell>
          <cell r="C305" t="str">
            <v>V1</v>
          </cell>
          <cell r="D305" t="str">
            <v>AI</v>
          </cell>
        </row>
        <row r="306">
          <cell r="A306" t="str">
            <v>E2C1138579</v>
          </cell>
          <cell r="B306" t="str">
            <v>H</v>
          </cell>
          <cell r="C306" t="str">
            <v>VJ</v>
          </cell>
          <cell r="D306" t="str">
            <v>OI</v>
          </cell>
        </row>
        <row r="307">
          <cell r="A307" t="str">
            <v>E2C1137721</v>
          </cell>
          <cell r="B307" t="str">
            <v>H</v>
          </cell>
          <cell r="C307" t="str">
            <v>V1</v>
          </cell>
          <cell r="D307" t="str">
            <v>AI</v>
          </cell>
        </row>
        <row r="308">
          <cell r="A308" t="str">
            <v>E2C1137829</v>
          </cell>
          <cell r="B308" t="str">
            <v>H</v>
          </cell>
          <cell r="C308" t="str">
            <v>V1</v>
          </cell>
          <cell r="D308" t="str">
            <v>AI</v>
          </cell>
        </row>
        <row r="309">
          <cell r="A309" t="str">
            <v>E2C1138774</v>
          </cell>
          <cell r="B309" t="str">
            <v>I</v>
          </cell>
          <cell r="C309" t="str">
            <v>SY</v>
          </cell>
          <cell r="D309" t="str">
            <v>CHB</v>
          </cell>
        </row>
        <row r="310">
          <cell r="A310" t="str">
            <v>E2C1138493</v>
          </cell>
          <cell r="B310" t="str">
            <v>H</v>
          </cell>
          <cell r="C310" t="str">
            <v>VJ</v>
          </cell>
          <cell r="D310" t="str">
            <v>OI</v>
          </cell>
        </row>
        <row r="311">
          <cell r="A311" t="str">
            <v>E2C1138492</v>
          </cell>
          <cell r="B311" t="str">
            <v>H</v>
          </cell>
          <cell r="C311" t="str">
            <v>VJ</v>
          </cell>
          <cell r="D311" t="str">
            <v>OI</v>
          </cell>
        </row>
        <row r="312">
          <cell r="A312" t="str">
            <v>E2C1139192</v>
          </cell>
          <cell r="B312" t="str">
            <v>N</v>
          </cell>
          <cell r="C312" t="str">
            <v>SU</v>
          </cell>
          <cell r="D312" t="str">
            <v>OM</v>
          </cell>
        </row>
        <row r="313">
          <cell r="A313" t="str">
            <v>E2C1137699</v>
          </cell>
          <cell r="B313" t="str">
            <v>H</v>
          </cell>
          <cell r="C313" t="str">
            <v>V1</v>
          </cell>
          <cell r="D313" t="str">
            <v>AI</v>
          </cell>
        </row>
        <row r="314">
          <cell r="A314" t="str">
            <v>E2C1138902</v>
          </cell>
          <cell r="B314" t="str">
            <v>H</v>
          </cell>
          <cell r="C314" t="str">
            <v>VI</v>
          </cell>
          <cell r="D314" t="str">
            <v>OI</v>
          </cell>
        </row>
        <row r="315">
          <cell r="A315" t="str">
            <v>E2C1139683</v>
          </cell>
          <cell r="B315" t="str">
            <v>H</v>
          </cell>
          <cell r="C315" t="str">
            <v>V1</v>
          </cell>
          <cell r="D315" t="str">
            <v>AI</v>
          </cell>
        </row>
        <row r="316">
          <cell r="A316" t="str">
            <v>E2C1139712</v>
          </cell>
          <cell r="B316" t="str">
            <v>H</v>
          </cell>
          <cell r="C316" t="str">
            <v>V1</v>
          </cell>
          <cell r="D316" t="str">
            <v>AI</v>
          </cell>
        </row>
        <row r="317">
          <cell r="A317" t="str">
            <v>E2C1137679</v>
          </cell>
          <cell r="B317" t="str">
            <v>H</v>
          </cell>
          <cell r="C317" t="str">
            <v>V1</v>
          </cell>
          <cell r="D317" t="str">
            <v>AI</v>
          </cell>
        </row>
        <row r="318">
          <cell r="A318" t="str">
            <v>E2C1139308</v>
          </cell>
          <cell r="B318" t="str">
            <v>N</v>
          </cell>
          <cell r="C318" t="str">
            <v>AJ</v>
          </cell>
          <cell r="D318" t="str">
            <v>OE</v>
          </cell>
        </row>
        <row r="319">
          <cell r="A319" t="str">
            <v>E2C1138776</v>
          </cell>
          <cell r="B319" t="str">
            <v>I</v>
          </cell>
          <cell r="C319" t="str">
            <v>SY</v>
          </cell>
          <cell r="D319" t="str">
            <v>CHB</v>
          </cell>
        </row>
        <row r="320">
          <cell r="A320" t="str">
            <v>E2C1139375</v>
          </cell>
          <cell r="B320" t="str">
            <v>I</v>
          </cell>
          <cell r="C320" t="str">
            <v>MH</v>
          </cell>
          <cell r="D320" t="str">
            <v>CHB</v>
          </cell>
        </row>
        <row r="321">
          <cell r="A321" t="str">
            <v>E2C1139862</v>
          </cell>
          <cell r="B321" t="str">
            <v>N</v>
          </cell>
          <cell r="C321" t="str">
            <v>GL</v>
          </cell>
          <cell r="D321" t="str">
            <v>OE</v>
          </cell>
        </row>
        <row r="322">
          <cell r="A322" t="str">
            <v>E2C1138653</v>
          </cell>
          <cell r="B322" t="str">
            <v>N</v>
          </cell>
          <cell r="C322" t="str">
            <v>A1</v>
          </cell>
          <cell r="D322" t="str">
            <v>OM</v>
          </cell>
        </row>
        <row r="323">
          <cell r="A323" t="str">
            <v>E2C1137692</v>
          </cell>
          <cell r="B323" t="str">
            <v>H</v>
          </cell>
          <cell r="C323" t="str">
            <v>V1</v>
          </cell>
          <cell r="D323" t="str">
            <v>AI</v>
          </cell>
        </row>
        <row r="324">
          <cell r="A324" t="str">
            <v>E2C1138408</v>
          </cell>
          <cell r="B324" t="str">
            <v>N</v>
          </cell>
          <cell r="C324" t="str">
            <v>GL</v>
          </cell>
          <cell r="D324" t="str">
            <v>OE</v>
          </cell>
        </row>
        <row r="325">
          <cell r="A325" t="str">
            <v>E2C1137980</v>
          </cell>
          <cell r="B325" t="str">
            <v>H</v>
          </cell>
          <cell r="C325" t="str">
            <v>VJ</v>
          </cell>
          <cell r="D325" t="str">
            <v>OI</v>
          </cell>
        </row>
        <row r="326">
          <cell r="A326" t="str">
            <v>E2C1139130</v>
          </cell>
          <cell r="B326" t="str">
            <v>N</v>
          </cell>
          <cell r="C326" t="str">
            <v>ST</v>
          </cell>
          <cell r="D326" t="str">
            <v>OM</v>
          </cell>
        </row>
        <row r="327">
          <cell r="A327" t="str">
            <v>E2C1139004</v>
          </cell>
          <cell r="B327" t="str">
            <v>F</v>
          </cell>
          <cell r="C327" t="str">
            <v>SY</v>
          </cell>
          <cell r="D327" t="str">
            <v>CHB</v>
          </cell>
        </row>
        <row r="328">
          <cell r="A328" t="str">
            <v>E2C1139725</v>
          </cell>
          <cell r="B328" t="str">
            <v>H</v>
          </cell>
          <cell r="C328" t="str">
            <v>V1</v>
          </cell>
          <cell r="D328" t="str">
            <v>AI</v>
          </cell>
        </row>
        <row r="329">
          <cell r="A329" t="str">
            <v>E2C1139176</v>
          </cell>
          <cell r="B329" t="str">
            <v>N</v>
          </cell>
          <cell r="C329" t="str">
            <v>SU</v>
          </cell>
          <cell r="D329" t="str">
            <v>OM</v>
          </cell>
        </row>
        <row r="330">
          <cell r="A330" t="str">
            <v>E2C1137694</v>
          </cell>
          <cell r="B330" t="str">
            <v>H</v>
          </cell>
          <cell r="C330" t="str">
            <v>JK</v>
          </cell>
          <cell r="D330" t="str">
            <v>AI</v>
          </cell>
        </row>
        <row r="331">
          <cell r="A331" t="str">
            <v>E2C1139845</v>
          </cell>
          <cell r="B331" t="str">
            <v>N</v>
          </cell>
          <cell r="C331" t="str">
            <v>GL</v>
          </cell>
          <cell r="D331" t="str">
            <v>OE</v>
          </cell>
        </row>
        <row r="332">
          <cell r="A332" t="str">
            <v>E2C1139593</v>
          </cell>
          <cell r="B332" t="str">
            <v>N</v>
          </cell>
          <cell r="C332" t="str">
            <v>GL</v>
          </cell>
          <cell r="D332" t="str">
            <v>OE</v>
          </cell>
        </row>
        <row r="333">
          <cell r="A333" t="str">
            <v>E2C1137702</v>
          </cell>
          <cell r="B333" t="str">
            <v>H</v>
          </cell>
          <cell r="C333" t="str">
            <v>JK</v>
          </cell>
          <cell r="D333" t="str">
            <v>AI</v>
          </cell>
        </row>
        <row r="334">
          <cell r="A334" t="str">
            <v>E2C1139598</v>
          </cell>
          <cell r="B334" t="str">
            <v>N</v>
          </cell>
          <cell r="C334" t="str">
            <v>SS</v>
          </cell>
          <cell r="D334" t="str">
            <v>OM</v>
          </cell>
        </row>
        <row r="335">
          <cell r="A335" t="str">
            <v>E2C1138602</v>
          </cell>
          <cell r="B335" t="str">
            <v>H</v>
          </cell>
          <cell r="C335" t="str">
            <v>JK</v>
          </cell>
          <cell r="D335" t="str">
            <v>AI</v>
          </cell>
        </row>
        <row r="336">
          <cell r="A336" t="str">
            <v>E2C1139602</v>
          </cell>
          <cell r="B336" t="str">
            <v>N</v>
          </cell>
          <cell r="C336" t="str">
            <v>SS</v>
          </cell>
          <cell r="D336" t="str">
            <v>OM</v>
          </cell>
        </row>
        <row r="337">
          <cell r="A337" t="str">
            <v>E2C1139595</v>
          </cell>
          <cell r="B337" t="str">
            <v>N</v>
          </cell>
          <cell r="C337" t="str">
            <v>SS</v>
          </cell>
          <cell r="D337" t="str">
            <v>OM</v>
          </cell>
        </row>
        <row r="338">
          <cell r="A338" t="str">
            <v>E2C1139600</v>
          </cell>
          <cell r="B338" t="str">
            <v>N</v>
          </cell>
          <cell r="C338" t="str">
            <v>SS</v>
          </cell>
          <cell r="D338" t="str">
            <v>OM</v>
          </cell>
        </row>
        <row r="339">
          <cell r="A339" t="str">
            <v>E2C1139572</v>
          </cell>
          <cell r="B339" t="str">
            <v>N</v>
          </cell>
          <cell r="C339" t="str">
            <v>AT</v>
          </cell>
          <cell r="D339" t="str">
            <v>oe</v>
          </cell>
        </row>
        <row r="340">
          <cell r="A340" t="str">
            <v>E2C1138918</v>
          </cell>
          <cell r="B340" t="str">
            <v>H</v>
          </cell>
          <cell r="C340" t="str">
            <v>JK</v>
          </cell>
          <cell r="D340" t="str">
            <v>AI</v>
          </cell>
        </row>
        <row r="341">
          <cell r="A341" t="str">
            <v>E2C1139082</v>
          </cell>
          <cell r="B341" t="str">
            <v>N</v>
          </cell>
          <cell r="C341" t="str">
            <v>ST</v>
          </cell>
          <cell r="D341" t="str">
            <v>OM</v>
          </cell>
        </row>
        <row r="342">
          <cell r="A342" t="str">
            <v>E2C1137494</v>
          </cell>
          <cell r="B342" t="str">
            <v>N</v>
          </cell>
          <cell r="C342" t="str">
            <v>ST</v>
          </cell>
          <cell r="D342" t="str">
            <v>OM</v>
          </cell>
        </row>
        <row r="343">
          <cell r="A343" t="str">
            <v>E2C1139077</v>
          </cell>
          <cell r="B343" t="str">
            <v>N</v>
          </cell>
          <cell r="C343" t="str">
            <v>ST</v>
          </cell>
          <cell r="D343" t="str">
            <v>OM</v>
          </cell>
        </row>
        <row r="344">
          <cell r="A344" t="str">
            <v>E2C1139576</v>
          </cell>
          <cell r="B344" t="str">
            <v>N</v>
          </cell>
          <cell r="C344" t="str">
            <v>SS</v>
          </cell>
          <cell r="D344" t="str">
            <v>OM</v>
          </cell>
        </row>
        <row r="345">
          <cell r="A345" t="str">
            <v>E2C1138311</v>
          </cell>
          <cell r="B345" t="str">
            <v>F</v>
          </cell>
          <cell r="C345" t="str">
            <v>SY</v>
          </cell>
          <cell r="D345" t="str">
            <v>CHB</v>
          </cell>
        </row>
        <row r="346">
          <cell r="A346" t="str">
            <v>E2C1137495</v>
          </cell>
          <cell r="B346" t="str">
            <v>N</v>
          </cell>
          <cell r="C346" t="str">
            <v>ST</v>
          </cell>
          <cell r="D346" t="str">
            <v>OM</v>
          </cell>
        </row>
        <row r="347">
          <cell r="A347" t="str">
            <v>E2C1138693</v>
          </cell>
          <cell r="B347" t="str">
            <v>N</v>
          </cell>
          <cell r="C347" t="str">
            <v>AT</v>
          </cell>
          <cell r="D347" t="str">
            <v>oe</v>
          </cell>
        </row>
        <row r="348">
          <cell r="A348" t="str">
            <v>E2C1137727</v>
          </cell>
          <cell r="B348" t="str">
            <v>H</v>
          </cell>
          <cell r="C348" t="str">
            <v>V1</v>
          </cell>
          <cell r="D348" t="str">
            <v>AI</v>
          </cell>
        </row>
        <row r="349">
          <cell r="A349" t="str">
            <v>E2C1139594</v>
          </cell>
          <cell r="B349" t="str">
            <v>N</v>
          </cell>
          <cell r="C349" t="str">
            <v>SS</v>
          </cell>
          <cell r="D349" t="str">
            <v>OM</v>
          </cell>
        </row>
        <row r="350">
          <cell r="A350" t="str">
            <v>E2C1137518</v>
          </cell>
          <cell r="B350" t="str">
            <v>H</v>
          </cell>
          <cell r="C350" t="str">
            <v>V1</v>
          </cell>
          <cell r="D350" t="str">
            <v>AI</v>
          </cell>
        </row>
        <row r="351">
          <cell r="A351" t="str">
            <v>E2C1139317</v>
          </cell>
          <cell r="B351" t="str">
            <v>N</v>
          </cell>
          <cell r="C351" t="str">
            <v>ST</v>
          </cell>
          <cell r="D351" t="str">
            <v>OM</v>
          </cell>
        </row>
        <row r="352">
          <cell r="A352" t="str">
            <v>E2C1139321</v>
          </cell>
          <cell r="B352" t="str">
            <v>N</v>
          </cell>
          <cell r="C352" t="str">
            <v>ST</v>
          </cell>
          <cell r="D352" t="str">
            <v>OM</v>
          </cell>
        </row>
        <row r="353">
          <cell r="A353" t="str">
            <v>E2C1139322</v>
          </cell>
          <cell r="B353" t="str">
            <v>N</v>
          </cell>
          <cell r="C353" t="str">
            <v>ST</v>
          </cell>
          <cell r="D353" t="str">
            <v>OM</v>
          </cell>
        </row>
        <row r="354">
          <cell r="A354" t="str">
            <v>E2C1139565</v>
          </cell>
          <cell r="B354" t="str">
            <v>N</v>
          </cell>
          <cell r="C354" t="str">
            <v>AT</v>
          </cell>
          <cell r="D354" t="str">
            <v>oe</v>
          </cell>
        </row>
        <row r="355">
          <cell r="A355" t="str">
            <v>E2C1139318</v>
          </cell>
          <cell r="B355" t="str">
            <v>N</v>
          </cell>
          <cell r="C355" t="str">
            <v>ST</v>
          </cell>
          <cell r="D355" t="str">
            <v>OM</v>
          </cell>
        </row>
        <row r="356">
          <cell r="A356" t="str">
            <v>E2C1139320</v>
          </cell>
          <cell r="B356" t="str">
            <v>N</v>
          </cell>
          <cell r="C356" t="str">
            <v>ST</v>
          </cell>
          <cell r="D356" t="str">
            <v>OM</v>
          </cell>
        </row>
        <row r="357">
          <cell r="A357" t="str">
            <v>E2C1137655</v>
          </cell>
          <cell r="B357" t="str">
            <v>N</v>
          </cell>
          <cell r="C357" t="str">
            <v>C1</v>
          </cell>
          <cell r="D357" t="str">
            <v>OM</v>
          </cell>
        </row>
        <row r="358">
          <cell r="A358" t="str">
            <v>E2C1137902</v>
          </cell>
          <cell r="B358" t="str">
            <v>N</v>
          </cell>
          <cell r="C358" t="str">
            <v>AT</v>
          </cell>
          <cell r="D358" t="str">
            <v>oe</v>
          </cell>
        </row>
        <row r="359">
          <cell r="A359" t="str">
            <v>E2C1139892</v>
          </cell>
          <cell r="B359" t="str">
            <v>N</v>
          </cell>
          <cell r="C359" t="str">
            <v>GL</v>
          </cell>
          <cell r="D359" t="str">
            <v>OE</v>
          </cell>
        </row>
        <row r="360">
          <cell r="A360" t="str">
            <v>E2C1138717</v>
          </cell>
          <cell r="B360" t="str">
            <v>I</v>
          </cell>
          <cell r="C360" t="str">
            <v>SY</v>
          </cell>
          <cell r="D360" t="str">
            <v>CHB</v>
          </cell>
        </row>
        <row r="361">
          <cell r="A361" t="str">
            <v>E2C1137724</v>
          </cell>
          <cell r="B361" t="str">
            <v>H</v>
          </cell>
          <cell r="C361" t="str">
            <v>V1</v>
          </cell>
          <cell r="D361" t="str">
            <v>AI</v>
          </cell>
        </row>
        <row r="362">
          <cell r="A362" t="str">
            <v>E2C1139106</v>
          </cell>
          <cell r="B362" t="str">
            <v>N</v>
          </cell>
          <cell r="C362" t="str">
            <v>ST</v>
          </cell>
          <cell r="D362" t="str">
            <v>OM</v>
          </cell>
        </row>
        <row r="363">
          <cell r="A363" t="str">
            <v>E2C1137704</v>
          </cell>
          <cell r="B363" t="str">
            <v>H</v>
          </cell>
          <cell r="C363" t="str">
            <v>V1</v>
          </cell>
          <cell r="D363" t="str">
            <v>AI</v>
          </cell>
        </row>
        <row r="364">
          <cell r="A364" t="str">
            <v>E2C1138589</v>
          </cell>
          <cell r="B364" t="str">
            <v>N</v>
          </cell>
          <cell r="C364" t="str">
            <v>ST</v>
          </cell>
          <cell r="D364" t="str">
            <v>OM</v>
          </cell>
        </row>
        <row r="365">
          <cell r="A365" t="str">
            <v>E2C1137475</v>
          </cell>
          <cell r="B365" t="str">
            <v>H</v>
          </cell>
          <cell r="C365" t="str">
            <v>CR</v>
          </cell>
          <cell r="D365" t="str">
            <v>AI</v>
          </cell>
        </row>
        <row r="366">
          <cell r="A366" t="str">
            <v>E2C1138725</v>
          </cell>
          <cell r="B366" t="str">
            <v>I</v>
          </cell>
          <cell r="C366" t="str">
            <v>SY</v>
          </cell>
          <cell r="D366" t="str">
            <v>CHB</v>
          </cell>
        </row>
        <row r="367">
          <cell r="A367" t="str">
            <v>E2C1139081</v>
          </cell>
          <cell r="B367" t="str">
            <v>N</v>
          </cell>
          <cell r="C367" t="str">
            <v>A1</v>
          </cell>
          <cell r="D367" t="str">
            <v>OM</v>
          </cell>
        </row>
        <row r="368">
          <cell r="A368" t="str">
            <v>E2C1139101</v>
          </cell>
          <cell r="B368" t="str">
            <v>N</v>
          </cell>
          <cell r="C368" t="str">
            <v>ST</v>
          </cell>
          <cell r="D368" t="str">
            <v>OM</v>
          </cell>
        </row>
        <row r="369">
          <cell r="A369" t="str">
            <v>E2C1138325</v>
          </cell>
          <cell r="B369" t="str">
            <v>F</v>
          </cell>
          <cell r="C369" t="str">
            <v>SY</v>
          </cell>
          <cell r="D369" t="str">
            <v>CHB</v>
          </cell>
        </row>
        <row r="370">
          <cell r="A370" t="str">
            <v>E2C1139669</v>
          </cell>
          <cell r="B370" t="str">
            <v>H</v>
          </cell>
          <cell r="C370" t="str">
            <v>V1</v>
          </cell>
          <cell r="D370" t="str">
            <v>AI</v>
          </cell>
        </row>
        <row r="371">
          <cell r="A371" t="str">
            <v>E2C1139109</v>
          </cell>
          <cell r="B371" t="str">
            <v>N</v>
          </cell>
          <cell r="C371" t="str">
            <v>ST</v>
          </cell>
          <cell r="D371" t="str">
            <v>OM</v>
          </cell>
        </row>
        <row r="372">
          <cell r="A372" t="str">
            <v>E2C1138009</v>
          </cell>
          <cell r="B372" t="str">
            <v>H</v>
          </cell>
          <cell r="C372" t="str">
            <v>V1</v>
          </cell>
          <cell r="D372" t="str">
            <v>AI</v>
          </cell>
        </row>
        <row r="373">
          <cell r="A373" t="str">
            <v>E2C1137730</v>
          </cell>
          <cell r="B373" t="str">
            <v>H</v>
          </cell>
          <cell r="C373" t="str">
            <v>V1</v>
          </cell>
          <cell r="D373" t="str">
            <v>AI</v>
          </cell>
        </row>
        <row r="374">
          <cell r="A374" t="str">
            <v>E2C1137488</v>
          </cell>
          <cell r="B374" t="str">
            <v>H</v>
          </cell>
          <cell r="C374" t="str">
            <v>V1</v>
          </cell>
          <cell r="D374" t="str">
            <v>AI</v>
          </cell>
        </row>
        <row r="375">
          <cell r="A375" t="str">
            <v>E2C1139781</v>
          </cell>
          <cell r="B375" t="str">
            <v>H</v>
          </cell>
          <cell r="C375" t="str">
            <v>V1</v>
          </cell>
          <cell r="D375" t="str">
            <v>AI</v>
          </cell>
        </row>
        <row r="376">
          <cell r="A376" t="str">
            <v>E2C1138592</v>
          </cell>
          <cell r="B376" t="str">
            <v>H</v>
          </cell>
          <cell r="C376" t="str">
            <v>JK</v>
          </cell>
          <cell r="D376" t="str">
            <v>AI</v>
          </cell>
        </row>
        <row r="377">
          <cell r="A377" t="str">
            <v>E2C1137728</v>
          </cell>
          <cell r="B377" t="str">
            <v>H</v>
          </cell>
          <cell r="C377" t="str">
            <v>JK</v>
          </cell>
          <cell r="D377" t="str">
            <v>AI</v>
          </cell>
        </row>
        <row r="378">
          <cell r="A378" t="str">
            <v>E2C1138600</v>
          </cell>
          <cell r="B378" t="str">
            <v>H</v>
          </cell>
          <cell r="C378" t="str">
            <v>CR</v>
          </cell>
          <cell r="D378" t="str">
            <v>AI</v>
          </cell>
        </row>
        <row r="379">
          <cell r="A379" t="str">
            <v>E2C1139459</v>
          </cell>
          <cell r="B379" t="str">
            <v>H</v>
          </cell>
          <cell r="C379" t="str">
            <v>V1</v>
          </cell>
          <cell r="D379" t="str">
            <v>AI</v>
          </cell>
        </row>
        <row r="380">
          <cell r="A380" t="str">
            <v>E2C1139681</v>
          </cell>
          <cell r="B380" t="str">
            <v>H</v>
          </cell>
          <cell r="C380" t="str">
            <v>V1</v>
          </cell>
          <cell r="D380" t="str">
            <v>AI</v>
          </cell>
        </row>
        <row r="381">
          <cell r="A381" t="str">
            <v>E2C1139451</v>
          </cell>
          <cell r="B381" t="str">
            <v>H</v>
          </cell>
          <cell r="C381" t="str">
            <v>V1</v>
          </cell>
          <cell r="D381" t="str">
            <v>AI</v>
          </cell>
        </row>
        <row r="382">
          <cell r="A382" t="str">
            <v>E2C1139093</v>
          </cell>
          <cell r="B382" t="str">
            <v>H</v>
          </cell>
          <cell r="C382" t="str">
            <v>V1</v>
          </cell>
          <cell r="D382" t="str">
            <v>AI</v>
          </cell>
        </row>
        <row r="383">
          <cell r="A383" t="str">
            <v>E2C1138598</v>
          </cell>
          <cell r="B383" t="str">
            <v>H</v>
          </cell>
          <cell r="C383" t="str">
            <v>JK</v>
          </cell>
          <cell r="D383" t="str">
            <v>AI</v>
          </cell>
        </row>
        <row r="384">
          <cell r="A384" t="str">
            <v>E2C1139680</v>
          </cell>
          <cell r="B384" t="str">
            <v>H</v>
          </cell>
          <cell r="C384" t="str">
            <v>V1</v>
          </cell>
          <cell r="D384" t="str">
            <v>AI</v>
          </cell>
        </row>
        <row r="385">
          <cell r="A385" t="str">
            <v>E2C1138624</v>
          </cell>
          <cell r="B385" t="str">
            <v>H</v>
          </cell>
          <cell r="C385" t="str">
            <v>JK</v>
          </cell>
          <cell r="D385" t="str">
            <v>AI</v>
          </cell>
        </row>
        <row r="386">
          <cell r="A386" t="str">
            <v>E2C1139448</v>
          </cell>
          <cell r="B386" t="str">
            <v>H</v>
          </cell>
          <cell r="C386" t="str">
            <v>V1</v>
          </cell>
          <cell r="D386" t="str">
            <v>AI</v>
          </cell>
        </row>
        <row r="387">
          <cell r="A387" t="str">
            <v>E2C1138056</v>
          </cell>
          <cell r="B387" t="str">
            <v>H</v>
          </cell>
          <cell r="C387" t="str">
            <v>V1</v>
          </cell>
          <cell r="D387" t="str">
            <v>AI</v>
          </cell>
        </row>
        <row r="388">
          <cell r="A388" t="str">
            <v>E2C1139400</v>
          </cell>
          <cell r="B388" t="str">
            <v>H</v>
          </cell>
          <cell r="C388" t="str">
            <v>V1</v>
          </cell>
          <cell r="D388" t="str">
            <v>AI</v>
          </cell>
        </row>
        <row r="389">
          <cell r="A389" t="str">
            <v>E2C1137986</v>
          </cell>
          <cell r="B389" t="str">
            <v>H</v>
          </cell>
          <cell r="C389" t="str">
            <v>JK</v>
          </cell>
          <cell r="D389" t="str">
            <v>AI</v>
          </cell>
        </row>
        <row r="390">
          <cell r="A390" t="str">
            <v>E2C1137749</v>
          </cell>
          <cell r="B390" t="str">
            <v>H</v>
          </cell>
          <cell r="C390" t="str">
            <v>JK</v>
          </cell>
          <cell r="D390" t="str">
            <v>AI</v>
          </cell>
        </row>
        <row r="391">
          <cell r="A391" t="str">
            <v>E2C1139841</v>
          </cell>
          <cell r="B391" t="str">
            <v>H</v>
          </cell>
          <cell r="C391" t="str">
            <v>V1</v>
          </cell>
          <cell r="D391" t="str">
            <v>AI</v>
          </cell>
        </row>
        <row r="392">
          <cell r="A392" t="str">
            <v>E2C1138226</v>
          </cell>
          <cell r="B392" t="str">
            <v>H</v>
          </cell>
          <cell r="C392" t="str">
            <v>JK</v>
          </cell>
          <cell r="D392" t="str">
            <v>AI</v>
          </cell>
        </row>
        <row r="393">
          <cell r="A393" t="str">
            <v>E2C1138426</v>
          </cell>
          <cell r="B393" t="str">
            <v>N</v>
          </cell>
          <cell r="C393" t="str">
            <v>GL</v>
          </cell>
          <cell r="D393" t="str">
            <v>OE</v>
          </cell>
        </row>
        <row r="394">
          <cell r="A394" t="str">
            <v>E2C1137882</v>
          </cell>
          <cell r="B394" t="str">
            <v>H</v>
          </cell>
          <cell r="C394" t="str">
            <v>JK</v>
          </cell>
          <cell r="D394" t="str">
            <v>AI</v>
          </cell>
        </row>
        <row r="395">
          <cell r="A395" t="str">
            <v>E2C1137473</v>
          </cell>
          <cell r="B395" t="str">
            <v>H</v>
          </cell>
          <cell r="C395" t="str">
            <v>JK</v>
          </cell>
          <cell r="D395" t="str">
            <v>AI</v>
          </cell>
        </row>
        <row r="396">
          <cell r="A396" t="str">
            <v>E2C1138848</v>
          </cell>
          <cell r="B396" t="str">
            <v>H</v>
          </cell>
          <cell r="C396" t="str">
            <v>JK</v>
          </cell>
          <cell r="D396" t="str">
            <v>AI</v>
          </cell>
        </row>
        <row r="397">
          <cell r="A397" t="str">
            <v>E2C1139058</v>
          </cell>
          <cell r="B397" t="str">
            <v>N</v>
          </cell>
          <cell r="C397" t="str">
            <v>ST</v>
          </cell>
          <cell r="D397" t="str">
            <v>OM</v>
          </cell>
        </row>
        <row r="398">
          <cell r="A398" t="str">
            <v>E2C1138597</v>
          </cell>
          <cell r="B398" t="str">
            <v>I</v>
          </cell>
          <cell r="C398" t="str">
            <v>CR</v>
          </cell>
          <cell r="D398" t="str">
            <v>AI</v>
          </cell>
        </row>
        <row r="399">
          <cell r="A399" t="str">
            <v>E2C1138309</v>
          </cell>
          <cell r="B399" t="str">
            <v>H</v>
          </cell>
          <cell r="C399" t="str">
            <v>JK</v>
          </cell>
          <cell r="D399" t="str">
            <v>AI</v>
          </cell>
        </row>
        <row r="400">
          <cell r="A400" t="str">
            <v>E2C1137705</v>
          </cell>
          <cell r="B400" t="str">
            <v>H</v>
          </cell>
          <cell r="C400" t="str">
            <v>JK</v>
          </cell>
          <cell r="D400" t="str">
            <v>AI</v>
          </cell>
        </row>
        <row r="401">
          <cell r="A401" t="str">
            <v>E2C1139454</v>
          </cell>
          <cell r="B401" t="str">
            <v>H</v>
          </cell>
          <cell r="C401" t="str">
            <v>V1</v>
          </cell>
          <cell r="D401" t="str">
            <v>AI</v>
          </cell>
        </row>
        <row r="402">
          <cell r="A402" t="str">
            <v>E2C1137884</v>
          </cell>
          <cell r="B402" t="str">
            <v>H</v>
          </cell>
          <cell r="C402" t="str">
            <v>JK</v>
          </cell>
          <cell r="D402" t="str">
            <v>AI</v>
          </cell>
        </row>
        <row r="403">
          <cell r="A403" t="str">
            <v>E2C1137714</v>
          </cell>
          <cell r="B403" t="str">
            <v>H</v>
          </cell>
          <cell r="C403" t="str">
            <v>V1</v>
          </cell>
          <cell r="D403" t="str">
            <v>AI</v>
          </cell>
        </row>
        <row r="404">
          <cell r="A404" t="str">
            <v>E2C1139212</v>
          </cell>
          <cell r="B404" t="str">
            <v>N</v>
          </cell>
          <cell r="C404" t="str">
            <v>C1</v>
          </cell>
          <cell r="D404" t="str">
            <v>OM</v>
          </cell>
        </row>
        <row r="405">
          <cell r="A405" t="str">
            <v>E2C1137859</v>
          </cell>
          <cell r="B405" t="str">
            <v>H</v>
          </cell>
          <cell r="C405" t="str">
            <v>V1</v>
          </cell>
          <cell r="D405" t="str">
            <v>AI</v>
          </cell>
        </row>
        <row r="406">
          <cell r="A406" t="str">
            <v>E2C1137865</v>
          </cell>
          <cell r="B406" t="str">
            <v>H</v>
          </cell>
          <cell r="C406" t="str">
            <v>V1</v>
          </cell>
          <cell r="D406" t="str">
            <v>AI</v>
          </cell>
        </row>
        <row r="407">
          <cell r="A407" t="str">
            <v>E2C1138007</v>
          </cell>
          <cell r="B407" t="str">
            <v>H</v>
          </cell>
          <cell r="C407" t="str">
            <v>VJ</v>
          </cell>
          <cell r="D407" t="str">
            <v>OI</v>
          </cell>
        </row>
        <row r="408">
          <cell r="A408" t="str">
            <v>E2C1139347</v>
          </cell>
          <cell r="B408" t="str">
            <v>H</v>
          </cell>
          <cell r="C408" t="str">
            <v>V1</v>
          </cell>
          <cell r="D408" t="str">
            <v>AI</v>
          </cell>
        </row>
        <row r="409">
          <cell r="A409" t="str">
            <v>E2C1139391</v>
          </cell>
          <cell r="B409" t="str">
            <v>H</v>
          </cell>
          <cell r="C409" t="str">
            <v>V1</v>
          </cell>
          <cell r="D409" t="str">
            <v>AI</v>
          </cell>
        </row>
        <row r="410">
          <cell r="A410" t="str">
            <v>E2C1138790</v>
          </cell>
          <cell r="B410" t="str">
            <v>H</v>
          </cell>
          <cell r="C410" t="str">
            <v>JK</v>
          </cell>
          <cell r="D410" t="str">
            <v>AI</v>
          </cell>
        </row>
        <row r="411">
          <cell r="A411" t="str">
            <v>E2C1137591</v>
          </cell>
          <cell r="B411" t="str">
            <v>N</v>
          </cell>
          <cell r="C411" t="str">
            <v>ST</v>
          </cell>
          <cell r="D411" t="str">
            <v>OM</v>
          </cell>
        </row>
        <row r="412">
          <cell r="A412" t="str">
            <v>E2C1138348</v>
          </cell>
          <cell r="B412" t="str">
            <v>H</v>
          </cell>
          <cell r="C412" t="str">
            <v>CR</v>
          </cell>
          <cell r="D412" t="str">
            <v>AI</v>
          </cell>
        </row>
        <row r="413">
          <cell r="A413" t="str">
            <v>E2C1137989</v>
          </cell>
          <cell r="B413" t="str">
            <v>H</v>
          </cell>
          <cell r="C413" t="str">
            <v>JK</v>
          </cell>
          <cell r="D413" t="str">
            <v>AI</v>
          </cell>
        </row>
        <row r="414">
          <cell r="A414" t="str">
            <v>E2C1137990</v>
          </cell>
          <cell r="B414" t="str">
            <v>H</v>
          </cell>
          <cell r="C414" t="str">
            <v>JK</v>
          </cell>
          <cell r="D414" t="str">
            <v>AI</v>
          </cell>
        </row>
        <row r="415">
          <cell r="A415" t="str">
            <v>E2C1137991</v>
          </cell>
          <cell r="B415" t="str">
            <v>H</v>
          </cell>
          <cell r="C415" t="str">
            <v>JK</v>
          </cell>
          <cell r="D415" t="str">
            <v>AI</v>
          </cell>
        </row>
        <row r="416">
          <cell r="A416" t="str">
            <v>E2C1137472</v>
          </cell>
          <cell r="B416" t="str">
            <v>H</v>
          </cell>
          <cell r="C416" t="str">
            <v>JK</v>
          </cell>
          <cell r="D416" t="str">
            <v>AI</v>
          </cell>
        </row>
        <row r="417">
          <cell r="A417" t="str">
            <v>E2C1138739</v>
          </cell>
          <cell r="B417" t="str">
            <v>I</v>
          </cell>
          <cell r="C417" t="str">
            <v>SY</v>
          </cell>
          <cell r="D417" t="str">
            <v>CHB</v>
          </cell>
        </row>
        <row r="418">
          <cell r="A418" t="str">
            <v>E2C1138104</v>
          </cell>
          <cell r="B418" t="str">
            <v>I</v>
          </cell>
          <cell r="C418" t="str">
            <v>JK</v>
          </cell>
          <cell r="D418" t="str">
            <v>AI</v>
          </cell>
        </row>
        <row r="419">
          <cell r="A419" t="str">
            <v>E2C1139346</v>
          </cell>
          <cell r="B419" t="str">
            <v>H</v>
          </cell>
          <cell r="C419" t="str">
            <v>V1</v>
          </cell>
          <cell r="D419" t="str">
            <v>AI</v>
          </cell>
        </row>
        <row r="420">
          <cell r="A420" t="str">
            <v>E2C1137656</v>
          </cell>
          <cell r="B420" t="str">
            <v>N</v>
          </cell>
          <cell r="C420" t="str">
            <v>C1</v>
          </cell>
          <cell r="D420" t="str">
            <v>OM</v>
          </cell>
        </row>
        <row r="421">
          <cell r="A421" t="str">
            <v>E2C1137521</v>
          </cell>
          <cell r="B421" t="str">
            <v>H</v>
          </cell>
          <cell r="C421" t="str">
            <v>V1</v>
          </cell>
          <cell r="D421" t="str">
            <v>AI</v>
          </cell>
        </row>
        <row r="422">
          <cell r="A422" t="str">
            <v>E2C1139889</v>
          </cell>
          <cell r="B422" t="str">
            <v>N</v>
          </cell>
          <cell r="C422" t="str">
            <v>GL</v>
          </cell>
          <cell r="D422" t="str">
            <v>OE</v>
          </cell>
        </row>
        <row r="423">
          <cell r="A423" t="str">
            <v>E2C1139670</v>
          </cell>
          <cell r="B423" t="str">
            <v>N</v>
          </cell>
          <cell r="C423" t="str">
            <v>AT</v>
          </cell>
          <cell r="D423" t="str">
            <v>oe</v>
          </cell>
        </row>
        <row r="424">
          <cell r="A424" t="str">
            <v>E2C1138636</v>
          </cell>
          <cell r="B424" t="str">
            <v>N</v>
          </cell>
          <cell r="C424" t="str">
            <v>ST</v>
          </cell>
          <cell r="D424" t="str">
            <v>OM</v>
          </cell>
        </row>
        <row r="425">
          <cell r="A425" t="str">
            <v>E2C1137674</v>
          </cell>
          <cell r="B425" t="str">
            <v>N</v>
          </cell>
          <cell r="C425" t="str">
            <v>ST</v>
          </cell>
          <cell r="D425" t="str">
            <v>OM</v>
          </cell>
        </row>
        <row r="426">
          <cell r="A426" t="str">
            <v>E2C1137517</v>
          </cell>
          <cell r="B426" t="str">
            <v>H</v>
          </cell>
          <cell r="C426" t="str">
            <v>V1</v>
          </cell>
          <cell r="D426" t="str">
            <v>AI</v>
          </cell>
        </row>
        <row r="427">
          <cell r="A427" t="str">
            <v>E2C1138777</v>
          </cell>
          <cell r="B427" t="str">
            <v>I</v>
          </cell>
          <cell r="C427" t="str">
            <v>SY</v>
          </cell>
          <cell r="D427" t="str">
            <v>CHB</v>
          </cell>
        </row>
        <row r="428">
          <cell r="A428" t="str">
            <v>E2C1137592</v>
          </cell>
          <cell r="B428" t="str">
            <v>N</v>
          </cell>
          <cell r="C428" t="str">
            <v>ST</v>
          </cell>
          <cell r="D428" t="str">
            <v>OM</v>
          </cell>
        </row>
        <row r="429">
          <cell r="A429" t="str">
            <v>E2C1138622</v>
          </cell>
          <cell r="B429" t="str">
            <v>N</v>
          </cell>
          <cell r="C429" t="str">
            <v>GL</v>
          </cell>
          <cell r="D429" t="str">
            <v>OE</v>
          </cell>
        </row>
        <row r="430">
          <cell r="A430" t="str">
            <v>E2C1138929</v>
          </cell>
          <cell r="B430" t="str">
            <v>I</v>
          </cell>
          <cell r="C430" t="str">
            <v>MH</v>
          </cell>
          <cell r="D430" t="str">
            <v>CHB</v>
          </cell>
        </row>
        <row r="431">
          <cell r="A431" t="str">
            <v>E2C1137600</v>
          </cell>
          <cell r="B431" t="str">
            <v>N</v>
          </cell>
          <cell r="C431" t="str">
            <v>SU</v>
          </cell>
          <cell r="D431" t="str">
            <v>OM</v>
          </cell>
        </row>
        <row r="432">
          <cell r="A432" t="str">
            <v>E2C1137599</v>
          </cell>
          <cell r="B432" t="str">
            <v>N</v>
          </cell>
          <cell r="C432" t="str">
            <v>SU</v>
          </cell>
          <cell r="D432" t="str">
            <v>OM</v>
          </cell>
        </row>
        <row r="433">
          <cell r="A433" t="str">
            <v>E2C1139450</v>
          </cell>
          <cell r="B433" t="str">
            <v>H</v>
          </cell>
          <cell r="C433" t="str">
            <v>V1</v>
          </cell>
          <cell r="D433" t="str">
            <v>AI</v>
          </cell>
        </row>
        <row r="434">
          <cell r="A434" t="str">
            <v>E2C1137999</v>
          </cell>
          <cell r="B434" t="str">
            <v>H</v>
          </cell>
          <cell r="C434" t="str">
            <v>V1</v>
          </cell>
          <cell r="D434" t="str">
            <v>AI</v>
          </cell>
        </row>
        <row r="435">
          <cell r="A435" t="str">
            <v>E2C1139024</v>
          </cell>
          <cell r="B435" t="str">
            <v>N</v>
          </cell>
          <cell r="C435" t="str">
            <v>ST</v>
          </cell>
          <cell r="D435" t="str">
            <v>OM</v>
          </cell>
        </row>
        <row r="436">
          <cell r="A436" t="str">
            <v>E2C1137681</v>
          </cell>
          <cell r="B436" t="str">
            <v>H</v>
          </cell>
          <cell r="C436" t="str">
            <v>V1</v>
          </cell>
          <cell r="D436" t="str">
            <v>AI</v>
          </cell>
        </row>
        <row r="437">
          <cell r="A437" t="str">
            <v>E2C1139678</v>
          </cell>
          <cell r="B437" t="str">
            <v>H</v>
          </cell>
          <cell r="C437" t="str">
            <v>V1</v>
          </cell>
          <cell r="D437" t="str">
            <v>AI</v>
          </cell>
        </row>
        <row r="438">
          <cell r="A438" t="str">
            <v>E2C1138601</v>
          </cell>
          <cell r="B438" t="str">
            <v>H</v>
          </cell>
          <cell r="C438" t="str">
            <v>JK</v>
          </cell>
          <cell r="D438" t="str">
            <v>AI</v>
          </cell>
        </row>
        <row r="439">
          <cell r="A439" t="str">
            <v>E2C1138310</v>
          </cell>
          <cell r="B439" t="str">
            <v>H</v>
          </cell>
          <cell r="C439" t="str">
            <v>JK</v>
          </cell>
          <cell r="D439" t="str">
            <v>AI</v>
          </cell>
        </row>
        <row r="440">
          <cell r="A440" t="str">
            <v>E2C1138123</v>
          </cell>
          <cell r="B440" t="str">
            <v>I</v>
          </cell>
          <cell r="C440" t="str">
            <v>V1</v>
          </cell>
          <cell r="D440" t="str">
            <v>AI</v>
          </cell>
        </row>
        <row r="441">
          <cell r="A441" t="str">
            <v>E2C1139263</v>
          </cell>
          <cell r="B441" t="str">
            <v>N</v>
          </cell>
          <cell r="C441" t="str">
            <v>C1</v>
          </cell>
          <cell r="D441" t="str">
            <v>OM</v>
          </cell>
        </row>
        <row r="442">
          <cell r="A442" t="str">
            <v>E2C1139786</v>
          </cell>
          <cell r="B442" t="str">
            <v>H</v>
          </cell>
          <cell r="C442" t="str">
            <v>V1</v>
          </cell>
          <cell r="D442" t="str">
            <v>AI</v>
          </cell>
        </row>
        <row r="443">
          <cell r="A443" t="str">
            <v>E2C1137892</v>
          </cell>
          <cell r="B443" t="str">
            <v>H</v>
          </cell>
          <cell r="C443" t="str">
            <v>V1</v>
          </cell>
          <cell r="D443" t="str">
            <v>AI</v>
          </cell>
        </row>
        <row r="444">
          <cell r="A444" t="str">
            <v>E2C1138955</v>
          </cell>
          <cell r="B444" t="str">
            <v>N</v>
          </cell>
          <cell r="C444" t="str">
            <v>ST</v>
          </cell>
          <cell r="D444" t="str">
            <v>OM</v>
          </cell>
        </row>
        <row r="445">
          <cell r="A445" t="str">
            <v>E2C1137874</v>
          </cell>
          <cell r="B445" t="str">
            <v>H</v>
          </cell>
          <cell r="C445" t="str">
            <v>V1</v>
          </cell>
          <cell r="D445" t="str">
            <v>AI</v>
          </cell>
        </row>
        <row r="446">
          <cell r="A446" t="str">
            <v>E2C1138527</v>
          </cell>
          <cell r="B446" t="str">
            <v>N</v>
          </cell>
          <cell r="C446" t="str">
            <v>ST</v>
          </cell>
          <cell r="D446" t="str">
            <v>OM</v>
          </cell>
        </row>
        <row r="447">
          <cell r="A447" t="str">
            <v>E2C1137756</v>
          </cell>
          <cell r="B447" t="str">
            <v>H</v>
          </cell>
          <cell r="C447" t="str">
            <v>V1</v>
          </cell>
          <cell r="D447" t="str">
            <v>AI</v>
          </cell>
        </row>
        <row r="448">
          <cell r="A448" t="str">
            <v>E2C1137767</v>
          </cell>
          <cell r="B448" t="str">
            <v>F</v>
          </cell>
          <cell r="C448" t="str">
            <v>PD</v>
          </cell>
          <cell r="D448" t="str">
            <v>CHB</v>
          </cell>
        </row>
        <row r="449">
          <cell r="A449" t="str">
            <v>E2C1137886</v>
          </cell>
          <cell r="B449" t="str">
            <v>H</v>
          </cell>
          <cell r="C449" t="str">
            <v>JK</v>
          </cell>
          <cell r="D449" t="str">
            <v>AI</v>
          </cell>
        </row>
        <row r="450">
          <cell r="A450" t="str">
            <v>E2C1138661</v>
          </cell>
          <cell r="B450" t="str">
            <v>N</v>
          </cell>
          <cell r="C450" t="str">
            <v>ST</v>
          </cell>
          <cell r="D450" t="str">
            <v>OM</v>
          </cell>
        </row>
        <row r="451">
          <cell r="A451" t="str">
            <v>E2C1139835</v>
          </cell>
          <cell r="B451" t="str">
            <v>H</v>
          </cell>
          <cell r="C451" t="str">
            <v>V1</v>
          </cell>
          <cell r="D451" t="str">
            <v>AI</v>
          </cell>
        </row>
        <row r="452">
          <cell r="A452" t="str">
            <v>E2C1138004</v>
          </cell>
          <cell r="B452" t="str">
            <v>H</v>
          </cell>
          <cell r="C452" t="str">
            <v>JK</v>
          </cell>
          <cell r="D452" t="str">
            <v>AI</v>
          </cell>
        </row>
        <row r="453">
          <cell r="A453" t="str">
            <v>E2C1137827</v>
          </cell>
          <cell r="B453" t="str">
            <v>H</v>
          </cell>
          <cell r="C453" t="str">
            <v>V1</v>
          </cell>
          <cell r="D453" t="str">
            <v>AI</v>
          </cell>
        </row>
        <row r="454">
          <cell r="A454" t="str">
            <v>E2C1138638</v>
          </cell>
          <cell r="B454" t="str">
            <v>N</v>
          </cell>
          <cell r="C454" t="str">
            <v>ST</v>
          </cell>
          <cell r="D454" t="str">
            <v>OM</v>
          </cell>
        </row>
        <row r="455">
          <cell r="A455" t="str">
            <v>E2C1138818</v>
          </cell>
          <cell r="B455" t="str">
            <v>H</v>
          </cell>
          <cell r="C455" t="str">
            <v>JK</v>
          </cell>
          <cell r="D455" t="str">
            <v>AI</v>
          </cell>
        </row>
        <row r="456">
          <cell r="A456" t="str">
            <v>E2C1139005</v>
          </cell>
          <cell r="B456" t="str">
            <v>F</v>
          </cell>
          <cell r="C456" t="str">
            <v>SY</v>
          </cell>
          <cell r="D456" t="str">
            <v>CHB</v>
          </cell>
        </row>
        <row r="457">
          <cell r="A457" t="str">
            <v>E2C1138093</v>
          </cell>
          <cell r="B457" t="str">
            <v>I</v>
          </cell>
          <cell r="C457" t="str">
            <v>V1</v>
          </cell>
          <cell r="D457" t="str">
            <v>AI</v>
          </cell>
        </row>
        <row r="458">
          <cell r="A458" t="str">
            <v>E2C1139307</v>
          </cell>
          <cell r="B458" t="str">
            <v>I</v>
          </cell>
          <cell r="C458" t="str">
            <v>MH</v>
          </cell>
          <cell r="D458" t="str">
            <v>CHB</v>
          </cell>
        </row>
        <row r="459">
          <cell r="A459" t="str">
            <v>E2C1138194</v>
          </cell>
          <cell r="B459" t="str">
            <v>H</v>
          </cell>
          <cell r="C459" t="str">
            <v>JK</v>
          </cell>
          <cell r="D459" t="str">
            <v>AI</v>
          </cell>
        </row>
        <row r="460">
          <cell r="A460" t="str">
            <v>E2C1139372</v>
          </cell>
          <cell r="B460" t="str">
            <v>N</v>
          </cell>
          <cell r="C460" t="str">
            <v>ST</v>
          </cell>
          <cell r="D460" t="str">
            <v>OM</v>
          </cell>
        </row>
        <row r="461">
          <cell r="A461" t="str">
            <v>E2C1137668</v>
          </cell>
          <cell r="B461" t="str">
            <v>N</v>
          </cell>
          <cell r="C461" t="str">
            <v>GL</v>
          </cell>
          <cell r="D461" t="str">
            <v>OE</v>
          </cell>
        </row>
        <row r="462">
          <cell r="A462" t="str">
            <v>E2C1139863</v>
          </cell>
          <cell r="B462" t="str">
            <v>N</v>
          </cell>
          <cell r="C462" t="str">
            <v>GL</v>
          </cell>
          <cell r="D462" t="str">
            <v>OE</v>
          </cell>
        </row>
        <row r="463">
          <cell r="A463" t="str">
            <v>E2C1139305</v>
          </cell>
          <cell r="B463" t="str">
            <v>H</v>
          </cell>
          <cell r="C463" t="str">
            <v>V1</v>
          </cell>
          <cell r="D463" t="str">
            <v>AI</v>
          </cell>
        </row>
        <row r="464">
          <cell r="A464" t="str">
            <v>E2C1138943</v>
          </cell>
          <cell r="B464" t="str">
            <v>N</v>
          </cell>
          <cell r="C464" t="str">
            <v>ST</v>
          </cell>
          <cell r="D464" t="str">
            <v>OM</v>
          </cell>
        </row>
        <row r="465">
          <cell r="A465" t="str">
            <v>E2C1137487</v>
          </cell>
          <cell r="B465" t="str">
            <v>H</v>
          </cell>
          <cell r="C465" t="str">
            <v>V1</v>
          </cell>
          <cell r="D465" t="str">
            <v>AI</v>
          </cell>
        </row>
        <row r="466">
          <cell r="A466" t="str">
            <v>E2C1139452</v>
          </cell>
          <cell r="B466" t="str">
            <v>H</v>
          </cell>
          <cell r="C466" t="str">
            <v>V1</v>
          </cell>
          <cell r="D466" t="str">
            <v>AI</v>
          </cell>
        </row>
        <row r="467">
          <cell r="A467" t="str">
            <v>E2C1139129</v>
          </cell>
          <cell r="B467" t="str">
            <v>N</v>
          </cell>
          <cell r="C467" t="str">
            <v>ST</v>
          </cell>
          <cell r="D467" t="str">
            <v>OM</v>
          </cell>
        </row>
        <row r="468">
          <cell r="A468" t="str">
            <v>E2C1138344</v>
          </cell>
          <cell r="B468" t="str">
            <v>F</v>
          </cell>
          <cell r="C468" t="str">
            <v>SY</v>
          </cell>
          <cell r="D468" t="str">
            <v>CHB</v>
          </cell>
        </row>
        <row r="469">
          <cell r="A469" t="str">
            <v>E2C1139228</v>
          </cell>
          <cell r="B469" t="str">
            <v>F</v>
          </cell>
          <cell r="C469" t="str">
            <v>MH</v>
          </cell>
          <cell r="D469" t="str">
            <v>CHB</v>
          </cell>
        </row>
        <row r="470">
          <cell r="A470" t="str">
            <v>E2C1138109</v>
          </cell>
          <cell r="B470" t="str">
            <v>I</v>
          </cell>
          <cell r="C470" t="str">
            <v>JK</v>
          </cell>
          <cell r="D470" t="str">
            <v>AI</v>
          </cell>
        </row>
        <row r="471">
          <cell r="A471" t="str">
            <v>E2C1138124</v>
          </cell>
          <cell r="B471" t="str">
            <v>I</v>
          </cell>
          <cell r="C471" t="str">
            <v>JK</v>
          </cell>
          <cell r="D471" t="str">
            <v>AI</v>
          </cell>
        </row>
        <row r="472">
          <cell r="A472" t="str">
            <v>E2C1139902</v>
          </cell>
          <cell r="B472" t="str">
            <v>N</v>
          </cell>
          <cell r="C472" t="str">
            <v>GL</v>
          </cell>
          <cell r="D472" t="str">
            <v>OE</v>
          </cell>
        </row>
        <row r="473">
          <cell r="A473" t="str">
            <v>E2C1139401</v>
          </cell>
          <cell r="B473" t="str">
            <v>H</v>
          </cell>
          <cell r="C473" t="str">
            <v>V1</v>
          </cell>
          <cell r="D473" t="str">
            <v>AI</v>
          </cell>
        </row>
        <row r="474">
          <cell r="A474" t="str">
            <v>E2C1138583</v>
          </cell>
          <cell r="B474" t="str">
            <v>I</v>
          </cell>
          <cell r="C474" t="str">
            <v>VJ</v>
          </cell>
          <cell r="D474" t="str">
            <v>OI</v>
          </cell>
        </row>
        <row r="475">
          <cell r="A475" t="str">
            <v>E2C1139832</v>
          </cell>
          <cell r="B475" t="str">
            <v>I</v>
          </cell>
          <cell r="C475" t="str">
            <v>V1</v>
          </cell>
          <cell r="D475" t="str">
            <v>AI</v>
          </cell>
        </row>
        <row r="476">
          <cell r="A476" t="str">
            <v>E2C1139494</v>
          </cell>
          <cell r="B476" t="str">
            <v>I</v>
          </cell>
          <cell r="C476" t="str">
            <v>MH</v>
          </cell>
          <cell r="D476" t="str">
            <v>CHB</v>
          </cell>
        </row>
        <row r="477">
          <cell r="A477" t="str">
            <v>E2C1139519</v>
          </cell>
          <cell r="B477" t="str">
            <v>F</v>
          </cell>
          <cell r="C477" t="str">
            <v>MH</v>
          </cell>
          <cell r="D477" t="str">
            <v>CHB</v>
          </cell>
        </row>
        <row r="478">
          <cell r="A478" t="str">
            <v>E2C1137768</v>
          </cell>
          <cell r="B478" t="str">
            <v>H</v>
          </cell>
          <cell r="C478" t="str">
            <v>CR</v>
          </cell>
          <cell r="D478" t="str">
            <v>AI</v>
          </cell>
        </row>
        <row r="479">
          <cell r="A479" t="str">
            <v>E2C1137607</v>
          </cell>
          <cell r="B479" t="str">
            <v>H</v>
          </cell>
          <cell r="C479" t="str">
            <v>JK</v>
          </cell>
          <cell r="D479" t="str">
            <v>AI</v>
          </cell>
        </row>
        <row r="480">
          <cell r="A480" t="str">
            <v>E2C1138465</v>
          </cell>
          <cell r="B480" t="str">
            <v>H</v>
          </cell>
          <cell r="C480" t="str">
            <v>VJ</v>
          </cell>
          <cell r="D480" t="str">
            <v>OI</v>
          </cell>
        </row>
        <row r="481">
          <cell r="A481" t="str">
            <v>E2C1138921</v>
          </cell>
          <cell r="B481" t="str">
            <v>H</v>
          </cell>
          <cell r="C481" t="str">
            <v>VJ</v>
          </cell>
          <cell r="D481" t="str">
            <v>OI</v>
          </cell>
        </row>
        <row r="482">
          <cell r="A482" t="str">
            <v>E2C1138466</v>
          </cell>
          <cell r="B482" t="str">
            <v>H</v>
          </cell>
          <cell r="C482" t="str">
            <v>VJ</v>
          </cell>
          <cell r="D482" t="str">
            <v>OI</v>
          </cell>
        </row>
        <row r="483">
          <cell r="A483" t="str">
            <v>E2C1138488</v>
          </cell>
          <cell r="B483" t="str">
            <v>H</v>
          </cell>
          <cell r="C483" t="str">
            <v>VJ</v>
          </cell>
          <cell r="D483" t="str">
            <v>OI</v>
          </cell>
        </row>
        <row r="484">
          <cell r="A484" t="str">
            <v>E2C1138489</v>
          </cell>
          <cell r="B484" t="str">
            <v>H</v>
          </cell>
          <cell r="C484" t="str">
            <v>VJ</v>
          </cell>
          <cell r="D484" t="str">
            <v>OI</v>
          </cell>
        </row>
        <row r="485">
          <cell r="A485" t="str">
            <v>E2C1138483</v>
          </cell>
          <cell r="B485" t="str">
            <v>H</v>
          </cell>
          <cell r="C485" t="str">
            <v>VJ</v>
          </cell>
          <cell r="D485" t="str">
            <v>OI</v>
          </cell>
        </row>
        <row r="486">
          <cell r="A486" t="str">
            <v>E2C1138484</v>
          </cell>
          <cell r="B486" t="str">
            <v>H</v>
          </cell>
          <cell r="C486" t="str">
            <v>VJ</v>
          </cell>
          <cell r="D486" t="str">
            <v>OI</v>
          </cell>
        </row>
        <row r="487">
          <cell r="A487" t="str">
            <v>E2C1138580</v>
          </cell>
          <cell r="B487" t="str">
            <v>H</v>
          </cell>
          <cell r="C487" t="str">
            <v>VJ</v>
          </cell>
          <cell r="D487" t="str">
            <v>OI</v>
          </cell>
        </row>
        <row r="488">
          <cell r="A488" t="str">
            <v>E2C1138051</v>
          </cell>
          <cell r="B488" t="str">
            <v>H</v>
          </cell>
          <cell r="C488" t="str">
            <v>VJ</v>
          </cell>
          <cell r="D488" t="str">
            <v>OI</v>
          </cell>
        </row>
        <row r="489">
          <cell r="A489" t="str">
            <v>E2C1138094</v>
          </cell>
          <cell r="B489" t="str">
            <v>H</v>
          </cell>
          <cell r="C489" t="str">
            <v>VJ</v>
          </cell>
          <cell r="D489" t="str">
            <v>OI</v>
          </cell>
        </row>
        <row r="490">
          <cell r="A490" t="str">
            <v>E2C1138142</v>
          </cell>
          <cell r="B490" t="str">
            <v>N</v>
          </cell>
          <cell r="C490" t="str">
            <v>C1</v>
          </cell>
          <cell r="D490" t="str">
            <v>OM</v>
          </cell>
        </row>
        <row r="491">
          <cell r="A491" t="str">
            <v>E2C1137675</v>
          </cell>
          <cell r="B491" t="str">
            <v>H</v>
          </cell>
          <cell r="C491" t="str">
            <v>JK</v>
          </cell>
          <cell r="D491" t="str">
            <v>AI</v>
          </cell>
        </row>
        <row r="492">
          <cell r="A492" t="str">
            <v>E2C1138584</v>
          </cell>
          <cell r="B492" t="str">
            <v>N</v>
          </cell>
          <cell r="C492" t="str">
            <v>ST</v>
          </cell>
          <cell r="D492" t="str">
            <v>OM</v>
          </cell>
        </row>
        <row r="493">
          <cell r="A493" t="str">
            <v>E2C1139473</v>
          </cell>
          <cell r="B493" t="str">
            <v>I</v>
          </cell>
          <cell r="C493" t="str">
            <v>MH</v>
          </cell>
          <cell r="D493" t="str">
            <v>CHB</v>
          </cell>
        </row>
        <row r="494">
          <cell r="A494" t="str">
            <v>E2C1139504</v>
          </cell>
          <cell r="B494" t="str">
            <v>F</v>
          </cell>
          <cell r="C494" t="str">
            <v>MH</v>
          </cell>
          <cell r="D494" t="str">
            <v>CHB</v>
          </cell>
        </row>
        <row r="495">
          <cell r="A495" t="str">
            <v>E2C1137857</v>
          </cell>
          <cell r="B495" t="str">
            <v>H</v>
          </cell>
          <cell r="C495" t="str">
            <v>V1</v>
          </cell>
          <cell r="D495" t="str">
            <v>AI</v>
          </cell>
        </row>
        <row r="496">
          <cell r="A496" t="str">
            <v>E2C1139057</v>
          </cell>
          <cell r="B496" t="str">
            <v>N</v>
          </cell>
          <cell r="C496" t="str">
            <v>ST</v>
          </cell>
          <cell r="D496" t="str">
            <v>OM</v>
          </cell>
        </row>
        <row r="497">
          <cell r="A497" t="str">
            <v>E2C1138590</v>
          </cell>
          <cell r="B497" t="str">
            <v>N</v>
          </cell>
          <cell r="C497" t="str">
            <v>ST</v>
          </cell>
          <cell r="D497" t="str">
            <v>OM</v>
          </cell>
        </row>
        <row r="498">
          <cell r="A498" t="str">
            <v>E2C1139213</v>
          </cell>
          <cell r="B498" t="str">
            <v>N</v>
          </cell>
          <cell r="C498" t="str">
            <v>C1</v>
          </cell>
          <cell r="D498" t="str">
            <v>OM</v>
          </cell>
        </row>
        <row r="499">
          <cell r="A499" t="str">
            <v>E2C1138091</v>
          </cell>
          <cell r="B499" t="str">
            <v>N</v>
          </cell>
          <cell r="C499" t="str">
            <v>AT</v>
          </cell>
          <cell r="D499" t="str">
            <v>oe</v>
          </cell>
        </row>
        <row r="500">
          <cell r="A500" t="str">
            <v>E2C1137493</v>
          </cell>
          <cell r="B500" t="str">
            <v>N</v>
          </cell>
          <cell r="C500" t="str">
            <v>ST</v>
          </cell>
          <cell r="D500" t="str">
            <v>OM</v>
          </cell>
        </row>
        <row r="501">
          <cell r="A501" t="str">
            <v>E2C1137717</v>
          </cell>
          <cell r="B501" t="str">
            <v>H</v>
          </cell>
          <cell r="C501" t="str">
            <v>JK</v>
          </cell>
          <cell r="D501" t="str">
            <v>AI</v>
          </cell>
        </row>
        <row r="502">
          <cell r="A502" t="str">
            <v>E2C1139092</v>
          </cell>
          <cell r="B502" t="str">
            <v>N</v>
          </cell>
          <cell r="C502" t="str">
            <v>AT</v>
          </cell>
          <cell r="D502" t="str">
            <v>oe</v>
          </cell>
        </row>
        <row r="503">
          <cell r="A503" t="str">
            <v>E2C1138588</v>
          </cell>
          <cell r="B503" t="str">
            <v>N</v>
          </cell>
          <cell r="C503" t="str">
            <v>ST</v>
          </cell>
          <cell r="D503" t="str">
            <v>OM</v>
          </cell>
        </row>
        <row r="504">
          <cell r="A504" t="str">
            <v>E2C1139674</v>
          </cell>
          <cell r="B504" t="str">
            <v>H</v>
          </cell>
          <cell r="C504" t="str">
            <v>V1</v>
          </cell>
          <cell r="D504" t="str">
            <v>AI</v>
          </cell>
        </row>
        <row r="505">
          <cell r="A505" t="str">
            <v>E2C1139154</v>
          </cell>
          <cell r="B505" t="str">
            <v>N</v>
          </cell>
          <cell r="C505" t="str">
            <v>GL</v>
          </cell>
          <cell r="D505" t="str">
            <v>OE</v>
          </cell>
        </row>
        <row r="506">
          <cell r="A506" t="str">
            <v>E2C1139211</v>
          </cell>
          <cell r="B506" t="str">
            <v>N</v>
          </cell>
          <cell r="C506" t="str">
            <v>C1</v>
          </cell>
          <cell r="D506" t="str">
            <v>OM</v>
          </cell>
        </row>
        <row r="507">
          <cell r="A507" t="str">
            <v>E2C1139107</v>
          </cell>
          <cell r="B507" t="str">
            <v>N</v>
          </cell>
          <cell r="C507" t="str">
            <v>ST</v>
          </cell>
          <cell r="D507" t="str">
            <v>OM</v>
          </cell>
        </row>
        <row r="508">
          <cell r="A508" t="str">
            <v>E2C1138148</v>
          </cell>
          <cell r="B508" t="str">
            <v>N</v>
          </cell>
          <cell r="C508" t="str">
            <v>C1</v>
          </cell>
          <cell r="D508" t="str">
            <v>OM</v>
          </cell>
        </row>
        <row r="509">
          <cell r="A509" t="str">
            <v>E2C1138723</v>
          </cell>
          <cell r="B509" t="str">
            <v>N</v>
          </cell>
          <cell r="C509" t="str">
            <v>GL</v>
          </cell>
          <cell r="D509" t="str">
            <v>OE</v>
          </cell>
        </row>
        <row r="510">
          <cell r="A510" t="str">
            <v>E2C1139908</v>
          </cell>
          <cell r="B510" t="str">
            <v>N</v>
          </cell>
          <cell r="C510" t="str">
            <v>GL</v>
          </cell>
          <cell r="D510" t="str">
            <v>OE</v>
          </cell>
        </row>
        <row r="511">
          <cell r="A511" t="str">
            <v>E2C1138001</v>
          </cell>
          <cell r="B511" t="str">
            <v>I</v>
          </cell>
          <cell r="C511" t="str">
            <v>JK</v>
          </cell>
          <cell r="D511" t="str">
            <v>AI</v>
          </cell>
        </row>
        <row r="512">
          <cell r="A512" t="str">
            <v>E2C1138593</v>
          </cell>
          <cell r="B512" t="str">
            <v>H</v>
          </cell>
          <cell r="C512" t="str">
            <v>JK</v>
          </cell>
          <cell r="D512" t="str">
            <v>AI</v>
          </cell>
        </row>
        <row r="513">
          <cell r="A513" t="str">
            <v>E2C1138103</v>
          </cell>
          <cell r="B513" t="str">
            <v>I</v>
          </cell>
          <cell r="C513" t="str">
            <v>JK</v>
          </cell>
          <cell r="D513" t="str">
            <v>AI</v>
          </cell>
        </row>
        <row r="514">
          <cell r="A514" t="str">
            <v>E2C1139080</v>
          </cell>
          <cell r="B514" t="str">
            <v>N</v>
          </cell>
          <cell r="C514" t="str">
            <v>ST</v>
          </cell>
          <cell r="D514" t="str">
            <v>OM</v>
          </cell>
        </row>
        <row r="515">
          <cell r="A515" t="str">
            <v>E2C1139052</v>
          </cell>
          <cell r="B515" t="str">
            <v>N</v>
          </cell>
          <cell r="C515" t="str">
            <v>ST</v>
          </cell>
          <cell r="D515" t="str">
            <v>OM</v>
          </cell>
        </row>
        <row r="516">
          <cell r="A516" t="str">
            <v>E2C1139437</v>
          </cell>
          <cell r="B516" t="str">
            <v>N</v>
          </cell>
          <cell r="C516" t="str">
            <v>GL</v>
          </cell>
          <cell r="D516" t="str">
            <v>OE</v>
          </cell>
        </row>
        <row r="517">
          <cell r="A517" t="str">
            <v>E2C1138889</v>
          </cell>
          <cell r="B517" t="str">
            <v>H</v>
          </cell>
          <cell r="C517" t="str">
            <v>VI</v>
          </cell>
          <cell r="D517" t="str">
            <v>OI</v>
          </cell>
        </row>
        <row r="518">
          <cell r="A518" t="str">
            <v>E2C1137654</v>
          </cell>
          <cell r="B518" t="str">
            <v>I</v>
          </cell>
          <cell r="C518" t="str">
            <v>V1</v>
          </cell>
          <cell r="D518" t="str">
            <v>AI</v>
          </cell>
        </row>
        <row r="519">
          <cell r="A519" t="str">
            <v>E2C1138165</v>
          </cell>
          <cell r="B519" t="str">
            <v>F</v>
          </cell>
          <cell r="C519" t="str">
            <v>MH</v>
          </cell>
          <cell r="D519" t="str">
            <v>CHB</v>
          </cell>
        </row>
        <row r="520">
          <cell r="A520" t="str">
            <v>E2C1137678</v>
          </cell>
          <cell r="B520" t="str">
            <v>H</v>
          </cell>
          <cell r="C520" t="str">
            <v>V1</v>
          </cell>
          <cell r="D520" t="str">
            <v>AI</v>
          </cell>
        </row>
        <row r="521">
          <cell r="A521" t="str">
            <v>E2C1138162</v>
          </cell>
          <cell r="B521" t="str">
            <v>N</v>
          </cell>
          <cell r="C521" t="str">
            <v>AT</v>
          </cell>
          <cell r="D521" t="str">
            <v>oe</v>
          </cell>
        </row>
        <row r="522">
          <cell r="A522" t="str">
            <v>E2C1139184</v>
          </cell>
          <cell r="B522" t="str">
            <v>I</v>
          </cell>
          <cell r="C522" t="str">
            <v>MH</v>
          </cell>
          <cell r="D522" t="str">
            <v>CHB</v>
          </cell>
        </row>
        <row r="523">
          <cell r="A523" t="str">
            <v>E2C1139526</v>
          </cell>
          <cell r="B523" t="str">
            <v>N</v>
          </cell>
          <cell r="C523" t="str">
            <v>SS</v>
          </cell>
          <cell r="D523" t="str">
            <v>OM</v>
          </cell>
        </row>
        <row r="524">
          <cell r="A524" t="str">
            <v>E2C1139172</v>
          </cell>
          <cell r="B524" t="str">
            <v>I</v>
          </cell>
          <cell r="C524" t="str">
            <v>MH</v>
          </cell>
          <cell r="D524" t="str">
            <v>CHB</v>
          </cell>
        </row>
        <row r="525">
          <cell r="A525" t="str">
            <v>E2C1137630</v>
          </cell>
          <cell r="B525" t="str">
            <v>H</v>
          </cell>
          <cell r="C525" t="str">
            <v>JK</v>
          </cell>
          <cell r="D525" t="str">
            <v>AI</v>
          </cell>
        </row>
        <row r="526">
          <cell r="A526" t="str">
            <v>E2C1139387</v>
          </cell>
          <cell r="B526" t="str">
            <v>I</v>
          </cell>
          <cell r="C526" t="str">
            <v>PD</v>
          </cell>
          <cell r="D526" t="str">
            <v>CHB</v>
          </cell>
        </row>
        <row r="527">
          <cell r="A527" t="str">
            <v>E2C1139392</v>
          </cell>
          <cell r="B527" t="str">
            <v>I</v>
          </cell>
          <cell r="C527" t="str">
            <v>PD</v>
          </cell>
          <cell r="D527" t="str">
            <v>CHB</v>
          </cell>
        </row>
        <row r="528">
          <cell r="A528" t="str">
            <v>E2C1139395</v>
          </cell>
          <cell r="B528" t="str">
            <v>I</v>
          </cell>
          <cell r="C528" t="str">
            <v>PD</v>
          </cell>
          <cell r="D528" t="str">
            <v>CHB</v>
          </cell>
        </row>
        <row r="529">
          <cell r="A529" t="str">
            <v>E2C1137836</v>
          </cell>
          <cell r="B529" t="str">
            <v>I</v>
          </cell>
          <cell r="C529" t="str">
            <v>PD</v>
          </cell>
          <cell r="D529" t="str">
            <v>CHB</v>
          </cell>
        </row>
        <row r="530">
          <cell r="A530" t="str">
            <v>E2C1137838</v>
          </cell>
          <cell r="B530" t="str">
            <v>I</v>
          </cell>
          <cell r="C530" t="str">
            <v>PD</v>
          </cell>
          <cell r="D530" t="str">
            <v>CHB</v>
          </cell>
        </row>
        <row r="531">
          <cell r="A531" t="str">
            <v>E2C1137840</v>
          </cell>
          <cell r="B531" t="str">
            <v>I</v>
          </cell>
          <cell r="C531" t="str">
            <v>PD</v>
          </cell>
          <cell r="D531" t="str">
            <v>CHB</v>
          </cell>
        </row>
        <row r="532">
          <cell r="A532" t="str">
            <v>E2C1137842</v>
          </cell>
          <cell r="B532" t="str">
            <v>I</v>
          </cell>
          <cell r="C532" t="str">
            <v>PD</v>
          </cell>
          <cell r="D532" t="str">
            <v>CHB</v>
          </cell>
        </row>
        <row r="533">
          <cell r="A533" t="str">
            <v>E2C1138241</v>
          </cell>
          <cell r="B533" t="str">
            <v>I</v>
          </cell>
          <cell r="C533" t="str">
            <v>PD</v>
          </cell>
          <cell r="D533" t="str">
            <v>CHB</v>
          </cell>
        </row>
        <row r="534">
          <cell r="A534" t="str">
            <v>E2C1138845</v>
          </cell>
          <cell r="B534" t="str">
            <v>I</v>
          </cell>
          <cell r="C534" t="str">
            <v>PD</v>
          </cell>
          <cell r="D534" t="str">
            <v>CHB</v>
          </cell>
        </row>
        <row r="535">
          <cell r="A535" t="str">
            <v>E2C1139384</v>
          </cell>
          <cell r="B535" t="str">
            <v>I</v>
          </cell>
          <cell r="C535" t="str">
            <v>PD</v>
          </cell>
          <cell r="D535" t="str">
            <v>CHB</v>
          </cell>
        </row>
        <row r="536">
          <cell r="A536" t="str">
            <v>E2C1139388</v>
          </cell>
          <cell r="B536" t="str">
            <v>I</v>
          </cell>
          <cell r="C536" t="str">
            <v>PD</v>
          </cell>
          <cell r="D536" t="str">
            <v>CHB</v>
          </cell>
        </row>
        <row r="537">
          <cell r="A537" t="str">
            <v>E2C1139389</v>
          </cell>
          <cell r="B537" t="str">
            <v>I</v>
          </cell>
          <cell r="C537" t="str">
            <v>PD</v>
          </cell>
          <cell r="D537" t="str">
            <v>CHB</v>
          </cell>
        </row>
        <row r="538">
          <cell r="A538" t="str">
            <v>E2C1139393</v>
          </cell>
          <cell r="B538" t="str">
            <v>I</v>
          </cell>
          <cell r="C538" t="str">
            <v>PD</v>
          </cell>
          <cell r="D538" t="str">
            <v>CHB</v>
          </cell>
        </row>
        <row r="539">
          <cell r="A539" t="str">
            <v>E2C1139394</v>
          </cell>
          <cell r="B539" t="str">
            <v>I</v>
          </cell>
          <cell r="C539" t="str">
            <v>PD</v>
          </cell>
          <cell r="D539" t="str">
            <v>CHB</v>
          </cell>
        </row>
        <row r="540">
          <cell r="A540" t="str">
            <v>E2C1139396</v>
          </cell>
          <cell r="B540" t="str">
            <v>I</v>
          </cell>
          <cell r="C540" t="str">
            <v>PD</v>
          </cell>
          <cell r="D540" t="str">
            <v>CHB</v>
          </cell>
        </row>
        <row r="541">
          <cell r="A541" t="str">
            <v>E2C1139390</v>
          </cell>
          <cell r="B541" t="str">
            <v>I</v>
          </cell>
          <cell r="C541" t="str">
            <v>PD</v>
          </cell>
          <cell r="D541" t="str">
            <v>CHB</v>
          </cell>
        </row>
        <row r="542">
          <cell r="A542" t="str">
            <v>E2C1139175</v>
          </cell>
          <cell r="B542" t="str">
            <v>N</v>
          </cell>
          <cell r="C542" t="str">
            <v>SU</v>
          </cell>
          <cell r="D542" t="str">
            <v>OM</v>
          </cell>
        </row>
        <row r="543">
          <cell r="A543" t="str">
            <v>E2C1137520</v>
          </cell>
          <cell r="B543" t="str">
            <v>H</v>
          </cell>
          <cell r="C543" t="str">
            <v>V1</v>
          </cell>
          <cell r="D543" t="str">
            <v>AI</v>
          </cell>
        </row>
        <row r="544">
          <cell r="A544" t="str">
            <v>E2C1139574</v>
          </cell>
          <cell r="B544" t="str">
            <v>N</v>
          </cell>
          <cell r="C544" t="str">
            <v>AT</v>
          </cell>
          <cell r="D544" t="str">
            <v>oe</v>
          </cell>
        </row>
        <row r="545">
          <cell r="A545" t="str">
            <v>E2C1138272</v>
          </cell>
          <cell r="B545" t="str">
            <v>F</v>
          </cell>
          <cell r="C545" t="str">
            <v>SY</v>
          </cell>
          <cell r="D545" t="str">
            <v>CHB</v>
          </cell>
        </row>
        <row r="546">
          <cell r="A546" t="str">
            <v>E2C1138276</v>
          </cell>
          <cell r="B546" t="str">
            <v>F</v>
          </cell>
          <cell r="C546" t="str">
            <v>SY</v>
          </cell>
          <cell r="D546" t="str">
            <v>CHB</v>
          </cell>
        </row>
        <row r="547">
          <cell r="A547" t="str">
            <v>E2C1137839</v>
          </cell>
          <cell r="B547" t="str">
            <v>I</v>
          </cell>
          <cell r="C547" t="str">
            <v>PD</v>
          </cell>
          <cell r="D547" t="str">
            <v>CHB</v>
          </cell>
        </row>
        <row r="548">
          <cell r="A548" t="str">
            <v>E2C1139385</v>
          </cell>
          <cell r="B548" t="str">
            <v>I</v>
          </cell>
          <cell r="C548" t="str">
            <v>PD</v>
          </cell>
          <cell r="D548" t="str">
            <v>CHB</v>
          </cell>
        </row>
        <row r="549">
          <cell r="A549" t="str">
            <v>E2C1139386</v>
          </cell>
          <cell r="B549" t="str">
            <v>I</v>
          </cell>
          <cell r="C549" t="str">
            <v>PD</v>
          </cell>
          <cell r="D549" t="str">
            <v>CHB</v>
          </cell>
        </row>
        <row r="550">
          <cell r="A550" t="str">
            <v>E2C1139579</v>
          </cell>
          <cell r="B550" t="str">
            <v>N</v>
          </cell>
          <cell r="C550" t="str">
            <v>AT</v>
          </cell>
          <cell r="D550" t="str">
            <v>oe</v>
          </cell>
        </row>
        <row r="551">
          <cell r="A551" t="str">
            <v>E2C1139157</v>
          </cell>
          <cell r="B551" t="str">
            <v>H</v>
          </cell>
          <cell r="C551" t="str">
            <v>V1</v>
          </cell>
          <cell r="D551" t="str">
            <v>AI</v>
          </cell>
        </row>
        <row r="552">
          <cell r="A552" t="str">
            <v>E2C1139382</v>
          </cell>
          <cell r="B552" t="str">
            <v>I</v>
          </cell>
          <cell r="C552" t="str">
            <v>PD</v>
          </cell>
          <cell r="D552" t="str">
            <v>CHB</v>
          </cell>
        </row>
        <row r="553">
          <cell r="A553" t="str">
            <v>E2C1137626</v>
          </cell>
          <cell r="B553" t="str">
            <v>H</v>
          </cell>
          <cell r="C553" t="str">
            <v>JK</v>
          </cell>
          <cell r="D553" t="str">
            <v>AI</v>
          </cell>
        </row>
        <row r="554">
          <cell r="A554" t="str">
            <v>E2C1139383</v>
          </cell>
          <cell r="B554" t="str">
            <v>I</v>
          </cell>
          <cell r="C554" t="str">
            <v>PD</v>
          </cell>
          <cell r="D554" t="str">
            <v>CHB</v>
          </cell>
        </row>
        <row r="555">
          <cell r="A555" t="str">
            <v>E2C1138297</v>
          </cell>
          <cell r="B555" t="str">
            <v>I</v>
          </cell>
          <cell r="C555" t="str">
            <v>MH</v>
          </cell>
          <cell r="D555" t="str">
            <v>CHB</v>
          </cell>
        </row>
        <row r="556">
          <cell r="A556" t="str">
            <v>E2C1138114</v>
          </cell>
          <cell r="B556" t="str">
            <v>I</v>
          </cell>
          <cell r="C556" t="str">
            <v>JK</v>
          </cell>
          <cell r="D556" t="str">
            <v>AI</v>
          </cell>
        </row>
        <row r="557">
          <cell r="A557" t="str">
            <v>E2C1139458</v>
          </cell>
          <cell r="B557" t="str">
            <v>N</v>
          </cell>
          <cell r="C557" t="str">
            <v>AJ</v>
          </cell>
          <cell r="D557" t="str">
            <v>OE</v>
          </cell>
        </row>
        <row r="558">
          <cell r="A558" t="str">
            <v>E2C1138844</v>
          </cell>
          <cell r="B558" t="str">
            <v>I</v>
          </cell>
          <cell r="C558" t="str">
            <v>PD</v>
          </cell>
          <cell r="D558" t="str">
            <v>CHB</v>
          </cell>
        </row>
        <row r="559">
          <cell r="A559" t="str">
            <v>E2C1138847</v>
          </cell>
          <cell r="B559" t="str">
            <v>I</v>
          </cell>
          <cell r="C559" t="str">
            <v>PD</v>
          </cell>
          <cell r="D559" t="str">
            <v>CHB</v>
          </cell>
        </row>
        <row r="560">
          <cell r="A560" t="str">
            <v>E2C1138582</v>
          </cell>
          <cell r="B560" t="str">
            <v>N</v>
          </cell>
          <cell r="C560" t="str">
            <v>SS</v>
          </cell>
          <cell r="D560" t="str">
            <v>OM</v>
          </cell>
        </row>
        <row r="561">
          <cell r="A561" t="str">
            <v>E2C1139632</v>
          </cell>
          <cell r="B561" t="str">
            <v>N</v>
          </cell>
          <cell r="C561" t="str">
            <v>AJ</v>
          </cell>
          <cell r="D561" t="str">
            <v>OE</v>
          </cell>
        </row>
        <row r="562">
          <cell r="A562" t="str">
            <v>E2C1139633</v>
          </cell>
          <cell r="B562" t="str">
            <v>N</v>
          </cell>
          <cell r="C562" t="str">
            <v>AJ</v>
          </cell>
          <cell r="D562" t="str">
            <v>OE</v>
          </cell>
        </row>
        <row r="563">
          <cell r="A563" t="str">
            <v>E2C1139381</v>
          </cell>
          <cell r="B563" t="str">
            <v>I</v>
          </cell>
          <cell r="C563" t="str">
            <v>PD</v>
          </cell>
          <cell r="D563" t="str">
            <v>CHB</v>
          </cell>
        </row>
        <row r="564">
          <cell r="A564" t="str">
            <v>E2C1138894</v>
          </cell>
          <cell r="B564" t="str">
            <v>H</v>
          </cell>
          <cell r="C564" t="str">
            <v>VI</v>
          </cell>
          <cell r="D564" t="str">
            <v>OI</v>
          </cell>
        </row>
        <row r="565">
          <cell r="A565" t="str">
            <v>E2C1139159</v>
          </cell>
          <cell r="B565" t="str">
            <v>I</v>
          </cell>
          <cell r="C565" t="str">
            <v>MH</v>
          </cell>
          <cell r="D565" t="str">
            <v>CHB</v>
          </cell>
        </row>
        <row r="566">
          <cell r="A566" t="str">
            <v>E2C1137837</v>
          </cell>
          <cell r="B566" t="str">
            <v>I</v>
          </cell>
          <cell r="C566" t="str">
            <v>PD</v>
          </cell>
          <cell r="D566" t="str">
            <v>CHB</v>
          </cell>
        </row>
        <row r="567">
          <cell r="A567" t="str">
            <v>E2C1137478</v>
          </cell>
          <cell r="B567" t="str">
            <v>I</v>
          </cell>
          <cell r="C567" t="str">
            <v>V2</v>
          </cell>
          <cell r="D567" t="str">
            <v>OI</v>
          </cell>
        </row>
        <row r="568">
          <cell r="A568" t="str">
            <v>E2C1139160</v>
          </cell>
          <cell r="B568" t="str">
            <v>N</v>
          </cell>
          <cell r="C568" t="str">
            <v>GL</v>
          </cell>
          <cell r="D568" t="str">
            <v>OE</v>
          </cell>
        </row>
        <row r="569">
          <cell r="A569" t="str">
            <v>E2C1138308</v>
          </cell>
          <cell r="B569" t="str">
            <v>H</v>
          </cell>
          <cell r="C569" t="str">
            <v>JK</v>
          </cell>
          <cell r="D569" t="str">
            <v>AI</v>
          </cell>
        </row>
        <row r="570">
          <cell r="A570" t="str">
            <v>E2C1137835</v>
          </cell>
          <cell r="B570" t="str">
            <v>H</v>
          </cell>
          <cell r="C570" t="str">
            <v>V1</v>
          </cell>
          <cell r="D570" t="str">
            <v>AI</v>
          </cell>
        </row>
        <row r="571">
          <cell r="A571" t="str">
            <v>E2C1138073</v>
          </cell>
          <cell r="B571" t="str">
            <v>H</v>
          </cell>
          <cell r="C571" t="str">
            <v>JK</v>
          </cell>
          <cell r="D571" t="str">
            <v>AI</v>
          </cell>
        </row>
        <row r="572">
          <cell r="A572" t="str">
            <v>E2C1139233</v>
          </cell>
          <cell r="B572" t="str">
            <v>N</v>
          </cell>
          <cell r="C572" t="str">
            <v>SU</v>
          </cell>
          <cell r="D572" t="str">
            <v>OM</v>
          </cell>
        </row>
        <row r="573">
          <cell r="A573" t="str">
            <v>E2C1138526</v>
          </cell>
          <cell r="B573" t="str">
            <v>N</v>
          </cell>
          <cell r="C573" t="str">
            <v>ST</v>
          </cell>
          <cell r="D573" t="str">
            <v>OM</v>
          </cell>
        </row>
        <row r="574">
          <cell r="A574" t="str">
            <v>E2C1139875</v>
          </cell>
          <cell r="B574" t="str">
            <v>N</v>
          </cell>
          <cell r="C574" t="str">
            <v>GL</v>
          </cell>
          <cell r="D574" t="str">
            <v>OE</v>
          </cell>
        </row>
        <row r="575">
          <cell r="A575" t="str">
            <v>E2C1139569</v>
          </cell>
          <cell r="B575" t="str">
            <v>N</v>
          </cell>
          <cell r="C575" t="str">
            <v>AT</v>
          </cell>
          <cell r="D575" t="str">
            <v>oe</v>
          </cell>
        </row>
        <row r="576">
          <cell r="A576" t="str">
            <v>E2C1139546</v>
          </cell>
          <cell r="B576" t="str">
            <v>N</v>
          </cell>
          <cell r="C576" t="str">
            <v>GL</v>
          </cell>
          <cell r="D576" t="str">
            <v>OE</v>
          </cell>
        </row>
        <row r="577">
          <cell r="A577" t="str">
            <v>E2C1139225</v>
          </cell>
          <cell r="B577" t="str">
            <v>N</v>
          </cell>
          <cell r="C577" t="str">
            <v>SU</v>
          </cell>
          <cell r="D577" t="str">
            <v>OM</v>
          </cell>
        </row>
        <row r="578">
          <cell r="A578" t="str">
            <v>E2C1139909</v>
          </cell>
          <cell r="B578" t="str">
            <v>N</v>
          </cell>
          <cell r="C578" t="str">
            <v>GL</v>
          </cell>
          <cell r="D578" t="str">
            <v>OE</v>
          </cell>
        </row>
        <row r="579">
          <cell r="A579" t="str">
            <v>E2C1138841</v>
          </cell>
          <cell r="B579" t="str">
            <v>I</v>
          </cell>
          <cell r="C579" t="str">
            <v>PD</v>
          </cell>
          <cell r="D579" t="str">
            <v>CHB</v>
          </cell>
        </row>
        <row r="580">
          <cell r="A580" t="str">
            <v>E2C1139215</v>
          </cell>
          <cell r="B580" t="str">
            <v>N</v>
          </cell>
          <cell r="C580" t="str">
            <v>GL</v>
          </cell>
          <cell r="D580" t="str">
            <v>OE</v>
          </cell>
        </row>
        <row r="581">
          <cell r="A581" t="str">
            <v>E2C1139583</v>
          </cell>
          <cell r="B581" t="str">
            <v>N</v>
          </cell>
          <cell r="C581" t="str">
            <v>GL</v>
          </cell>
          <cell r="D581" t="str">
            <v>OE</v>
          </cell>
        </row>
        <row r="582">
          <cell r="A582" t="str">
            <v>E2C1137709</v>
          </cell>
          <cell r="B582" t="str">
            <v>I</v>
          </cell>
          <cell r="C582" t="str">
            <v>JK</v>
          </cell>
          <cell r="D582" t="str">
            <v>AI</v>
          </cell>
        </row>
        <row r="583">
          <cell r="A583" t="str">
            <v>E2C1137834</v>
          </cell>
          <cell r="B583" t="str">
            <v>I</v>
          </cell>
          <cell r="C583" t="str">
            <v>PD</v>
          </cell>
          <cell r="D583" t="str">
            <v>CHB</v>
          </cell>
        </row>
        <row r="584">
          <cell r="A584" t="str">
            <v>E2C1137726</v>
          </cell>
          <cell r="B584" t="str">
            <v>H</v>
          </cell>
          <cell r="C584" t="str">
            <v>V1</v>
          </cell>
          <cell r="D584" t="str">
            <v>AI</v>
          </cell>
        </row>
        <row r="585">
          <cell r="A585" t="str">
            <v>E2C1139530</v>
          </cell>
          <cell r="B585" t="str">
            <v>N</v>
          </cell>
          <cell r="C585" t="str">
            <v>SS</v>
          </cell>
          <cell r="D585" t="str">
            <v>OM</v>
          </cell>
        </row>
        <row r="586">
          <cell r="A586" t="str">
            <v>E2C1139558</v>
          </cell>
          <cell r="B586" t="str">
            <v>N</v>
          </cell>
          <cell r="C586" t="str">
            <v>GL</v>
          </cell>
          <cell r="D586" t="str">
            <v>OE</v>
          </cell>
        </row>
        <row r="587">
          <cell r="A587" t="str">
            <v>E2C1138391</v>
          </cell>
          <cell r="B587" t="str">
            <v>N</v>
          </cell>
          <cell r="C587" t="str">
            <v>GL</v>
          </cell>
          <cell r="D587" t="str">
            <v>OE</v>
          </cell>
        </row>
        <row r="588">
          <cell r="A588" t="str">
            <v>E2C1139793</v>
          </cell>
          <cell r="B588" t="str">
            <v>H</v>
          </cell>
          <cell r="C588" t="str">
            <v>V1</v>
          </cell>
          <cell r="D588" t="str">
            <v>AI</v>
          </cell>
        </row>
        <row r="589">
          <cell r="A589" t="str">
            <v>E2C1138212</v>
          </cell>
          <cell r="B589" t="str">
            <v>H</v>
          </cell>
          <cell r="C589" t="str">
            <v>JK</v>
          </cell>
          <cell r="D589" t="str">
            <v>AI</v>
          </cell>
        </row>
        <row r="590">
          <cell r="A590" t="str">
            <v>E2C1138607</v>
          </cell>
          <cell r="B590" t="str">
            <v>H</v>
          </cell>
          <cell r="C590" t="str">
            <v>VJ</v>
          </cell>
          <cell r="D590" t="str">
            <v>OI</v>
          </cell>
        </row>
        <row r="591">
          <cell r="A591" t="str">
            <v>E2C1139867</v>
          </cell>
          <cell r="B591" t="str">
            <v>N</v>
          </cell>
          <cell r="C591" t="str">
            <v>GL</v>
          </cell>
          <cell r="D591" t="str">
            <v>OE</v>
          </cell>
        </row>
        <row r="592">
          <cell r="A592" t="str">
            <v>E2C1138762</v>
          </cell>
          <cell r="B592" t="str">
            <v>H</v>
          </cell>
          <cell r="C592" t="str">
            <v>JK</v>
          </cell>
          <cell r="D592" t="str">
            <v>AI</v>
          </cell>
        </row>
        <row r="593">
          <cell r="A593" t="str">
            <v>E2C1139009</v>
          </cell>
          <cell r="B593" t="str">
            <v>F</v>
          </cell>
          <cell r="C593" t="str">
            <v>SY</v>
          </cell>
          <cell r="D593" t="str">
            <v>CHB</v>
          </cell>
        </row>
        <row r="594">
          <cell r="A594" t="str">
            <v>E2C1139700</v>
          </cell>
          <cell r="B594" t="str">
            <v>N</v>
          </cell>
          <cell r="C594" t="str">
            <v>ST</v>
          </cell>
          <cell r="D594" t="str">
            <v>OM</v>
          </cell>
        </row>
        <row r="595">
          <cell r="A595" t="str">
            <v>E2C1138634</v>
          </cell>
          <cell r="B595" t="str">
            <v>N</v>
          </cell>
          <cell r="C595" t="str">
            <v>ST</v>
          </cell>
          <cell r="D595" t="str">
            <v>OM</v>
          </cell>
        </row>
        <row r="596">
          <cell r="A596" t="str">
            <v>E2C1138433</v>
          </cell>
          <cell r="B596" t="str">
            <v>F</v>
          </cell>
          <cell r="C596" t="str">
            <v>SY</v>
          </cell>
          <cell r="D596" t="str">
            <v>CHB</v>
          </cell>
        </row>
        <row r="597">
          <cell r="A597" t="str">
            <v>E2C1138317</v>
          </cell>
          <cell r="B597" t="str">
            <v>I</v>
          </cell>
          <cell r="C597" t="str">
            <v>MH</v>
          </cell>
          <cell r="D597" t="str">
            <v>CHB</v>
          </cell>
        </row>
        <row r="598">
          <cell r="A598" t="str">
            <v>E2C1139898</v>
          </cell>
          <cell r="B598" t="str">
            <v>N</v>
          </cell>
          <cell r="C598" t="str">
            <v>GL</v>
          </cell>
          <cell r="D598" t="str">
            <v>OE</v>
          </cell>
        </row>
        <row r="599">
          <cell r="A599" t="str">
            <v>E2C1138702</v>
          </cell>
          <cell r="B599" t="str">
            <v>N</v>
          </cell>
          <cell r="C599" t="str">
            <v>GL</v>
          </cell>
          <cell r="D599" t="str">
            <v>OE</v>
          </cell>
        </row>
        <row r="600">
          <cell r="A600" t="str">
            <v>E2C1137983</v>
          </cell>
          <cell r="B600" t="str">
            <v>I</v>
          </cell>
          <cell r="C600" t="str">
            <v>MH</v>
          </cell>
          <cell r="D600" t="str">
            <v>CHB</v>
          </cell>
        </row>
        <row r="601">
          <cell r="A601" t="str">
            <v>E2C1139002</v>
          </cell>
          <cell r="B601" t="str">
            <v>I</v>
          </cell>
          <cell r="C601" t="str">
            <v>SY</v>
          </cell>
          <cell r="D601" t="str">
            <v>CHB</v>
          </cell>
        </row>
        <row r="602">
          <cell r="A602" t="str">
            <v>E2C1137638</v>
          </cell>
          <cell r="B602" t="str">
            <v>H</v>
          </cell>
          <cell r="C602" t="str">
            <v>VJ</v>
          </cell>
          <cell r="D602" t="str">
            <v>OI</v>
          </cell>
        </row>
        <row r="603">
          <cell r="A603" t="str">
            <v>E2C1138149</v>
          </cell>
          <cell r="B603" t="str">
            <v>N</v>
          </cell>
          <cell r="C603" t="str">
            <v>SS</v>
          </cell>
          <cell r="D603" t="str">
            <v>OM</v>
          </cell>
        </row>
        <row r="604">
          <cell r="A604" t="str">
            <v>E2C1138556</v>
          </cell>
          <cell r="B604" t="str">
            <v>H</v>
          </cell>
          <cell r="C604" t="str">
            <v>VJ</v>
          </cell>
          <cell r="D604" t="str">
            <v>OI</v>
          </cell>
        </row>
        <row r="605">
          <cell r="A605" t="str">
            <v>E2C1138797</v>
          </cell>
          <cell r="B605" t="str">
            <v>H</v>
          </cell>
          <cell r="C605" t="str">
            <v>JK</v>
          </cell>
          <cell r="D605" t="str">
            <v>AI</v>
          </cell>
        </row>
        <row r="606">
          <cell r="A606" t="str">
            <v>E2C1139747</v>
          </cell>
          <cell r="B606" t="str">
            <v>N</v>
          </cell>
          <cell r="C606" t="str">
            <v>ST</v>
          </cell>
          <cell r="D606" t="str">
            <v>OM</v>
          </cell>
        </row>
        <row r="607">
          <cell r="A607" t="str">
            <v>E2C1137580</v>
          </cell>
          <cell r="B607" t="str">
            <v>H</v>
          </cell>
          <cell r="C607" t="str">
            <v>CR</v>
          </cell>
          <cell r="D607" t="str">
            <v>AI</v>
          </cell>
        </row>
        <row r="608">
          <cell r="A608" t="str">
            <v>E2C1137996</v>
          </cell>
          <cell r="B608" t="str">
            <v>H</v>
          </cell>
          <cell r="C608" t="str">
            <v>V1</v>
          </cell>
          <cell r="D608" t="str">
            <v>AI</v>
          </cell>
        </row>
        <row r="609">
          <cell r="A609" t="str">
            <v>E2C1138768</v>
          </cell>
          <cell r="B609" t="str">
            <v>H</v>
          </cell>
          <cell r="C609" t="str">
            <v>JK</v>
          </cell>
          <cell r="D609" t="str">
            <v>AI</v>
          </cell>
        </row>
        <row r="610">
          <cell r="A610" t="str">
            <v>E2C1137691</v>
          </cell>
          <cell r="B610" t="str">
            <v>H</v>
          </cell>
          <cell r="C610" t="str">
            <v>JK</v>
          </cell>
          <cell r="D610" t="str">
            <v>AI</v>
          </cell>
        </row>
        <row r="611">
          <cell r="A611" t="str">
            <v>E2C1138864</v>
          </cell>
          <cell r="B611" t="str">
            <v>H</v>
          </cell>
          <cell r="C611" t="str">
            <v>JK</v>
          </cell>
          <cell r="D611" t="str">
            <v>AI</v>
          </cell>
        </row>
        <row r="612">
          <cell r="A612" t="str">
            <v>E2C1139259</v>
          </cell>
          <cell r="B612" t="str">
            <v>N</v>
          </cell>
          <cell r="C612" t="str">
            <v>SW</v>
          </cell>
          <cell r="D612" t="str">
            <v>OE</v>
          </cell>
        </row>
        <row r="613">
          <cell r="A613" t="str">
            <v>E2C1137866</v>
          </cell>
          <cell r="B613" t="str">
            <v>H</v>
          </cell>
          <cell r="C613" t="str">
            <v>V1</v>
          </cell>
          <cell r="D613" t="str">
            <v>AI</v>
          </cell>
        </row>
        <row r="614">
          <cell r="A614" t="str">
            <v>E2C1139705</v>
          </cell>
          <cell r="B614" t="str">
            <v>H</v>
          </cell>
          <cell r="C614" t="str">
            <v>V1</v>
          </cell>
          <cell r="D614" t="str">
            <v>AI</v>
          </cell>
        </row>
        <row r="615">
          <cell r="A615" t="str">
            <v>E2C1138170</v>
          </cell>
          <cell r="B615" t="str">
            <v>N</v>
          </cell>
          <cell r="C615" t="str">
            <v>AT</v>
          </cell>
          <cell r="D615" t="str">
            <v>oe</v>
          </cell>
        </row>
        <row r="616">
          <cell r="A616" t="str">
            <v>E2C1138658</v>
          </cell>
          <cell r="B616" t="str">
            <v>N</v>
          </cell>
          <cell r="C616" t="str">
            <v>ST</v>
          </cell>
          <cell r="D616" t="str">
            <v>OM</v>
          </cell>
        </row>
        <row r="617">
          <cell r="A617" t="str">
            <v>E2C1139293</v>
          </cell>
          <cell r="B617" t="str">
            <v>H</v>
          </cell>
          <cell r="C617" t="str">
            <v>VI</v>
          </cell>
          <cell r="D617" t="str">
            <v>OI</v>
          </cell>
        </row>
        <row r="618">
          <cell r="A618" t="str">
            <v>E2C1139699</v>
          </cell>
          <cell r="B618" t="str">
            <v>N</v>
          </cell>
          <cell r="C618" t="str">
            <v>ST</v>
          </cell>
          <cell r="D618" t="str">
            <v>OM</v>
          </cell>
        </row>
        <row r="619">
          <cell r="A619" t="str">
            <v>E2C1138662</v>
          </cell>
          <cell r="B619" t="str">
            <v>N</v>
          </cell>
          <cell r="C619" t="str">
            <v>ST</v>
          </cell>
          <cell r="D619" t="str">
            <v>OM</v>
          </cell>
        </row>
        <row r="620">
          <cell r="A620" t="str">
            <v>E2C1138006</v>
          </cell>
          <cell r="B620" t="str">
            <v>H</v>
          </cell>
          <cell r="C620" t="str">
            <v>JK</v>
          </cell>
          <cell r="D620" t="str">
            <v>AI</v>
          </cell>
        </row>
        <row r="621">
          <cell r="A621" t="str">
            <v>E2C1139578</v>
          </cell>
          <cell r="B621" t="str">
            <v>N</v>
          </cell>
          <cell r="C621" t="str">
            <v>SS</v>
          </cell>
          <cell r="D621" t="str">
            <v>OM</v>
          </cell>
        </row>
        <row r="622">
          <cell r="A622" t="str">
            <v>E2C1138891</v>
          </cell>
          <cell r="B622" t="str">
            <v>H</v>
          </cell>
          <cell r="C622" t="str">
            <v>VI</v>
          </cell>
          <cell r="D622" t="str">
            <v>OI</v>
          </cell>
        </row>
        <row r="623">
          <cell r="A623" t="str">
            <v>E2C1138781</v>
          </cell>
          <cell r="B623" t="str">
            <v>H</v>
          </cell>
          <cell r="C623" t="str">
            <v>JK</v>
          </cell>
          <cell r="D623" t="str">
            <v>AI</v>
          </cell>
        </row>
        <row r="624">
          <cell r="A624" t="str">
            <v>E2C1139724</v>
          </cell>
          <cell r="B624" t="str">
            <v>N</v>
          </cell>
          <cell r="C624" t="str">
            <v>ST</v>
          </cell>
          <cell r="D624" t="str">
            <v>OM</v>
          </cell>
        </row>
        <row r="625">
          <cell r="A625" t="str">
            <v>E2C1138780</v>
          </cell>
          <cell r="B625" t="str">
            <v>H</v>
          </cell>
          <cell r="C625" t="str">
            <v>JK</v>
          </cell>
          <cell r="D625" t="str">
            <v>AI</v>
          </cell>
        </row>
        <row r="626">
          <cell r="A626" t="str">
            <v>E2C1139188</v>
          </cell>
          <cell r="B626" t="str">
            <v>N</v>
          </cell>
          <cell r="C626" t="str">
            <v>SU</v>
          </cell>
          <cell r="D626" t="str">
            <v>OM</v>
          </cell>
        </row>
        <row r="627">
          <cell r="A627" t="str">
            <v>E2C1138934</v>
          </cell>
          <cell r="B627" t="str">
            <v>N</v>
          </cell>
          <cell r="C627" t="str">
            <v>ST</v>
          </cell>
          <cell r="D627" t="str">
            <v>OM</v>
          </cell>
        </row>
        <row r="628">
          <cell r="A628" t="str">
            <v>E2C1139108</v>
          </cell>
          <cell r="B628" t="str">
            <v>H</v>
          </cell>
          <cell r="C628" t="str">
            <v>V1</v>
          </cell>
          <cell r="D628" t="str">
            <v>AI</v>
          </cell>
        </row>
        <row r="629">
          <cell r="A629" t="str">
            <v>E2C1139714</v>
          </cell>
          <cell r="B629" t="str">
            <v>H</v>
          </cell>
          <cell r="C629" t="str">
            <v>V1</v>
          </cell>
          <cell r="D629" t="str">
            <v>AI</v>
          </cell>
        </row>
        <row r="630">
          <cell r="A630" t="str">
            <v>E2C1138881</v>
          </cell>
          <cell r="B630" t="str">
            <v>H</v>
          </cell>
          <cell r="C630" t="str">
            <v>JK</v>
          </cell>
          <cell r="D630" t="str">
            <v>AI</v>
          </cell>
        </row>
        <row r="631">
          <cell r="A631" t="str">
            <v>E2C1138616</v>
          </cell>
          <cell r="B631" t="str">
            <v>N</v>
          </cell>
          <cell r="C631" t="str">
            <v>ST</v>
          </cell>
          <cell r="D631" t="str">
            <v>OM</v>
          </cell>
        </row>
        <row r="632">
          <cell r="A632" t="str">
            <v>E2C1138209</v>
          </cell>
          <cell r="B632" t="str">
            <v>I</v>
          </cell>
          <cell r="C632" t="str">
            <v>JK</v>
          </cell>
          <cell r="D632" t="str">
            <v>AI</v>
          </cell>
        </row>
        <row r="633">
          <cell r="A633" t="str">
            <v>E2C1139430</v>
          </cell>
          <cell r="B633" t="str">
            <v>N</v>
          </cell>
          <cell r="C633" t="str">
            <v>SS</v>
          </cell>
          <cell r="D633" t="str">
            <v>OM</v>
          </cell>
        </row>
        <row r="634">
          <cell r="A634" t="str">
            <v>E2C1137695</v>
          </cell>
          <cell r="B634" t="str">
            <v>H</v>
          </cell>
          <cell r="C634" t="str">
            <v>JK</v>
          </cell>
          <cell r="D634" t="str">
            <v>AI</v>
          </cell>
        </row>
        <row r="635">
          <cell r="A635" t="str">
            <v>E2C1138262</v>
          </cell>
          <cell r="B635" t="str">
            <v>H</v>
          </cell>
          <cell r="C635" t="str">
            <v>VI</v>
          </cell>
          <cell r="D635" t="str">
            <v>OI</v>
          </cell>
        </row>
        <row r="636">
          <cell r="A636" t="str">
            <v>E2C1138246</v>
          </cell>
          <cell r="B636" t="str">
            <v>F</v>
          </cell>
          <cell r="C636" t="str">
            <v>MH</v>
          </cell>
          <cell r="D636" t="str">
            <v>CHB</v>
          </cell>
        </row>
        <row r="637">
          <cell r="A637" t="str">
            <v>E2C1139428</v>
          </cell>
          <cell r="B637" t="str">
            <v>N</v>
          </cell>
          <cell r="C637" t="str">
            <v>GL</v>
          </cell>
          <cell r="D637" t="str">
            <v>OE</v>
          </cell>
        </row>
        <row r="638">
          <cell r="A638" t="str">
            <v>E2C1139156</v>
          </cell>
          <cell r="B638" t="str">
            <v>N</v>
          </cell>
          <cell r="C638" t="str">
            <v>GL</v>
          </cell>
          <cell r="D638" t="str">
            <v>OE</v>
          </cell>
        </row>
        <row r="639">
          <cell r="A639" t="str">
            <v>E2C1137612</v>
          </cell>
          <cell r="B639" t="str">
            <v>N</v>
          </cell>
          <cell r="C639" t="str">
            <v>ST</v>
          </cell>
          <cell r="D639" t="str">
            <v>OM</v>
          </cell>
        </row>
        <row r="640">
          <cell r="A640" t="str">
            <v>E2C1139248</v>
          </cell>
          <cell r="B640" t="str">
            <v>F</v>
          </cell>
          <cell r="C640" t="str">
            <v>MH</v>
          </cell>
          <cell r="D640" t="str">
            <v>CHB</v>
          </cell>
        </row>
        <row r="641">
          <cell r="A641" t="str">
            <v>E2C1138312</v>
          </cell>
          <cell r="B641" t="str">
            <v>I</v>
          </cell>
          <cell r="C641" t="str">
            <v>MH</v>
          </cell>
          <cell r="D641" t="str">
            <v>CHB</v>
          </cell>
        </row>
        <row r="642">
          <cell r="A642" t="str">
            <v>E2C1138376</v>
          </cell>
          <cell r="B642" t="str">
            <v>N</v>
          </cell>
          <cell r="C642" t="str">
            <v>AT</v>
          </cell>
          <cell r="D642" t="str">
            <v>oe</v>
          </cell>
        </row>
        <row r="643">
          <cell r="A643" t="str">
            <v>E2C1138685</v>
          </cell>
          <cell r="B643" t="str">
            <v>N</v>
          </cell>
          <cell r="C643" t="str">
            <v>AT</v>
          </cell>
          <cell r="D643" t="str">
            <v>oe</v>
          </cell>
        </row>
        <row r="644">
          <cell r="A644" t="str">
            <v>E2C1139438</v>
          </cell>
          <cell r="B644" t="str">
            <v>N</v>
          </cell>
          <cell r="C644" t="str">
            <v>AT</v>
          </cell>
          <cell r="D644" t="str">
            <v>oe</v>
          </cell>
        </row>
        <row r="645">
          <cell r="A645" t="str">
            <v>E2C1139693</v>
          </cell>
          <cell r="B645" t="str">
            <v>N</v>
          </cell>
          <cell r="C645" t="str">
            <v>AT</v>
          </cell>
          <cell r="D645" t="str">
            <v>oe</v>
          </cell>
        </row>
        <row r="646">
          <cell r="A646" t="str">
            <v>E2C1138145</v>
          </cell>
          <cell r="B646" t="str">
            <v>N</v>
          </cell>
          <cell r="C646" t="str">
            <v>SS</v>
          </cell>
          <cell r="D646" t="str">
            <v>OM</v>
          </cell>
        </row>
        <row r="647">
          <cell r="A647" t="str">
            <v>E2C1138144</v>
          </cell>
          <cell r="B647" t="str">
            <v>N</v>
          </cell>
          <cell r="C647" t="str">
            <v>AT</v>
          </cell>
          <cell r="D647" t="str">
            <v>oe</v>
          </cell>
        </row>
        <row r="648">
          <cell r="A648" t="str">
            <v>E2C1137590</v>
          </cell>
          <cell r="B648" t="str">
            <v>N</v>
          </cell>
          <cell r="C648" t="str">
            <v>ST</v>
          </cell>
          <cell r="D648" t="str">
            <v>OM</v>
          </cell>
        </row>
        <row r="649">
          <cell r="A649" t="str">
            <v>E2C1138026</v>
          </cell>
          <cell r="B649" t="str">
            <v>H</v>
          </cell>
          <cell r="C649" t="str">
            <v>JK</v>
          </cell>
          <cell r="D649" t="str">
            <v>AI</v>
          </cell>
        </row>
        <row r="650">
          <cell r="A650" t="str">
            <v>E2C1139561</v>
          </cell>
          <cell r="B650" t="str">
            <v>N</v>
          </cell>
          <cell r="C650" t="str">
            <v>AT</v>
          </cell>
          <cell r="D650" t="str">
            <v>oe</v>
          </cell>
        </row>
        <row r="651">
          <cell r="A651" t="str">
            <v>E2C1137657</v>
          </cell>
          <cell r="B651" t="str">
            <v>I</v>
          </cell>
          <cell r="C651" t="str">
            <v>V1</v>
          </cell>
          <cell r="D651" t="str">
            <v>AI</v>
          </cell>
        </row>
        <row r="652">
          <cell r="A652" t="str">
            <v>E2C1138131</v>
          </cell>
          <cell r="B652" t="str">
            <v>I</v>
          </cell>
          <cell r="C652" t="str">
            <v>JK</v>
          </cell>
          <cell r="D652" t="str">
            <v>AI</v>
          </cell>
        </row>
        <row r="653">
          <cell r="A653" t="str">
            <v>E2C1138227</v>
          </cell>
          <cell r="B653" t="str">
            <v>N</v>
          </cell>
          <cell r="C653" t="str">
            <v>AT</v>
          </cell>
          <cell r="D653" t="str">
            <v>oe</v>
          </cell>
        </row>
        <row r="654">
          <cell r="A654" t="str">
            <v>E2C1138247</v>
          </cell>
          <cell r="B654" t="str">
            <v>N</v>
          </cell>
          <cell r="C654" t="str">
            <v>AT</v>
          </cell>
          <cell r="D654" t="str">
            <v>oe</v>
          </cell>
        </row>
        <row r="655">
          <cell r="A655" t="str">
            <v>E2C1139562</v>
          </cell>
          <cell r="B655" t="str">
            <v>N</v>
          </cell>
          <cell r="C655" t="str">
            <v>AJ</v>
          </cell>
          <cell r="D655" t="str">
            <v>OE</v>
          </cell>
        </row>
        <row r="656">
          <cell r="A656" t="str">
            <v>E2C1139266</v>
          </cell>
          <cell r="B656" t="str">
            <v>I</v>
          </cell>
          <cell r="C656" t="str">
            <v>MH</v>
          </cell>
          <cell r="D656" t="str">
            <v>CHB</v>
          </cell>
        </row>
        <row r="657">
          <cell r="A657" t="str">
            <v>E2C1139838</v>
          </cell>
          <cell r="B657" t="str">
            <v>N</v>
          </cell>
          <cell r="C657" t="str">
            <v>GL</v>
          </cell>
          <cell r="D657" t="str">
            <v>OE</v>
          </cell>
        </row>
        <row r="658">
          <cell r="A658" t="str">
            <v>E2C1139564</v>
          </cell>
          <cell r="B658" t="str">
            <v>N</v>
          </cell>
          <cell r="C658" t="str">
            <v>AT</v>
          </cell>
          <cell r="D658" t="str">
            <v>oe</v>
          </cell>
        </row>
        <row r="659">
          <cell r="A659" t="str">
            <v>E2C1137611</v>
          </cell>
          <cell r="B659" t="str">
            <v>N</v>
          </cell>
          <cell r="C659" t="str">
            <v>ST</v>
          </cell>
          <cell r="D659" t="str">
            <v>OM</v>
          </cell>
        </row>
        <row r="660">
          <cell r="A660" t="str">
            <v>E2C1139713</v>
          </cell>
          <cell r="B660" t="str">
            <v>N</v>
          </cell>
          <cell r="C660" t="str">
            <v>ST</v>
          </cell>
          <cell r="D660" t="str">
            <v>OM</v>
          </cell>
        </row>
        <row r="661">
          <cell r="A661" t="str">
            <v>E2C1139673</v>
          </cell>
          <cell r="B661" t="str">
            <v>H</v>
          </cell>
          <cell r="C661" t="str">
            <v>V1</v>
          </cell>
          <cell r="D661" t="str">
            <v>AI</v>
          </cell>
        </row>
        <row r="662">
          <cell r="A662" t="str">
            <v>E2C1138775</v>
          </cell>
          <cell r="B662" t="str">
            <v>H</v>
          </cell>
          <cell r="C662" t="str">
            <v>JK</v>
          </cell>
          <cell r="D662" t="str">
            <v>AI</v>
          </cell>
        </row>
        <row r="663">
          <cell r="A663" t="str">
            <v>E2C1139703</v>
          </cell>
          <cell r="B663" t="str">
            <v>H</v>
          </cell>
          <cell r="C663" t="str">
            <v>V1</v>
          </cell>
          <cell r="D663" t="str">
            <v>AI</v>
          </cell>
        </row>
        <row r="664">
          <cell r="A664" t="str">
            <v>E2C1138563</v>
          </cell>
          <cell r="B664" t="str">
            <v>I</v>
          </cell>
          <cell r="C664" t="str">
            <v>MH</v>
          </cell>
          <cell r="D664" t="str">
            <v>CHB</v>
          </cell>
        </row>
        <row r="665">
          <cell r="A665" t="str">
            <v>E2C1138617</v>
          </cell>
          <cell r="B665" t="str">
            <v>H</v>
          </cell>
          <cell r="C665" t="str">
            <v>VJ</v>
          </cell>
          <cell r="D665" t="str">
            <v>OI</v>
          </cell>
        </row>
        <row r="666">
          <cell r="A666" t="str">
            <v>E2C1138618</v>
          </cell>
          <cell r="B666" t="str">
            <v>H</v>
          </cell>
          <cell r="C666" t="str">
            <v>VJ</v>
          </cell>
          <cell r="D666" t="str">
            <v>OI</v>
          </cell>
        </row>
        <row r="667">
          <cell r="A667" t="str">
            <v>E2C1139722</v>
          </cell>
          <cell r="B667" t="str">
            <v>N</v>
          </cell>
          <cell r="C667" t="str">
            <v>ST</v>
          </cell>
          <cell r="D667" t="str">
            <v>OM</v>
          </cell>
        </row>
        <row r="668">
          <cell r="A668" t="str">
            <v>E2C1138827</v>
          </cell>
          <cell r="B668" t="str">
            <v>H</v>
          </cell>
          <cell r="C668" t="str">
            <v>JK</v>
          </cell>
          <cell r="D668" t="str">
            <v>AI</v>
          </cell>
        </row>
        <row r="669">
          <cell r="A669" t="str">
            <v>E2C1137589</v>
          </cell>
          <cell r="B669" t="str">
            <v>N</v>
          </cell>
          <cell r="C669" t="str">
            <v>ST</v>
          </cell>
          <cell r="D669" t="str">
            <v>OM</v>
          </cell>
        </row>
        <row r="670">
          <cell r="A670" t="str">
            <v>E2C1138861</v>
          </cell>
          <cell r="B670" t="str">
            <v>H</v>
          </cell>
          <cell r="C670" t="str">
            <v>VI</v>
          </cell>
          <cell r="D670" t="str">
            <v>OI</v>
          </cell>
        </row>
        <row r="671">
          <cell r="A671" t="str">
            <v>E2C1139343</v>
          </cell>
          <cell r="B671" t="str">
            <v>N</v>
          </cell>
          <cell r="C671" t="str">
            <v>AT</v>
          </cell>
          <cell r="D671" t="str">
            <v>oe</v>
          </cell>
        </row>
        <row r="672">
          <cell r="A672" t="str">
            <v>E2C1139873</v>
          </cell>
          <cell r="B672" t="str">
            <v>N</v>
          </cell>
          <cell r="C672" t="str">
            <v>GL</v>
          </cell>
          <cell r="D672" t="str">
            <v>OE</v>
          </cell>
        </row>
        <row r="673">
          <cell r="A673" t="str">
            <v>E2C1139751</v>
          </cell>
          <cell r="B673" t="str">
            <v>H</v>
          </cell>
          <cell r="C673" t="str">
            <v>V1</v>
          </cell>
          <cell r="D673" t="str">
            <v>AI</v>
          </cell>
        </row>
        <row r="674">
          <cell r="A674" t="str">
            <v>E2C1138031</v>
          </cell>
          <cell r="B674" t="str">
            <v>H</v>
          </cell>
          <cell r="C674" t="str">
            <v>V1</v>
          </cell>
          <cell r="D674" t="str">
            <v>AI</v>
          </cell>
        </row>
        <row r="675">
          <cell r="A675" t="str">
            <v>E2C1137982</v>
          </cell>
          <cell r="B675" t="str">
            <v>I</v>
          </cell>
          <cell r="C675" t="str">
            <v>MH</v>
          </cell>
          <cell r="D675" t="str">
            <v>CHB</v>
          </cell>
        </row>
        <row r="676">
          <cell r="A676" t="str">
            <v>E2C1139691</v>
          </cell>
          <cell r="B676" t="str">
            <v>H</v>
          </cell>
          <cell r="C676" t="str">
            <v>V1</v>
          </cell>
          <cell r="D676" t="str">
            <v>AI</v>
          </cell>
        </row>
        <row r="677">
          <cell r="A677" t="str">
            <v>E2C1138019</v>
          </cell>
          <cell r="B677" t="str">
            <v>H</v>
          </cell>
          <cell r="C677" t="str">
            <v>JK</v>
          </cell>
          <cell r="D677" t="str">
            <v>AI</v>
          </cell>
        </row>
        <row r="678">
          <cell r="A678" t="str">
            <v>E2C1137863</v>
          </cell>
          <cell r="B678" t="str">
            <v>N</v>
          </cell>
          <cell r="C678" t="str">
            <v>AJ</v>
          </cell>
          <cell r="D678" t="str">
            <v>OE</v>
          </cell>
        </row>
        <row r="679">
          <cell r="A679" t="str">
            <v>E2C1139634</v>
          </cell>
          <cell r="B679" t="str">
            <v>N</v>
          </cell>
          <cell r="C679" t="str">
            <v>AJ</v>
          </cell>
          <cell r="D679" t="str">
            <v>OE</v>
          </cell>
        </row>
        <row r="680">
          <cell r="A680" t="str">
            <v>E2C1139635</v>
          </cell>
          <cell r="B680" t="str">
            <v>N</v>
          </cell>
          <cell r="C680" t="str">
            <v>AJ</v>
          </cell>
          <cell r="D680" t="str">
            <v>OE</v>
          </cell>
        </row>
        <row r="681">
          <cell r="A681" t="str">
            <v>E2C1138259</v>
          </cell>
          <cell r="B681" t="str">
            <v>N</v>
          </cell>
          <cell r="C681" t="str">
            <v>AT</v>
          </cell>
          <cell r="D681" t="str">
            <v>oe</v>
          </cell>
        </row>
        <row r="682">
          <cell r="A682" t="str">
            <v>E2C1138260</v>
          </cell>
          <cell r="B682" t="str">
            <v>N</v>
          </cell>
          <cell r="C682" t="str">
            <v>AT</v>
          </cell>
          <cell r="D682" t="str">
            <v>oe</v>
          </cell>
        </row>
        <row r="683">
          <cell r="A683" t="str">
            <v>E2C1138689</v>
          </cell>
          <cell r="B683" t="str">
            <v>N</v>
          </cell>
          <cell r="C683" t="str">
            <v>AT</v>
          </cell>
          <cell r="D683" t="str">
            <v>oe</v>
          </cell>
        </row>
        <row r="684">
          <cell r="A684" t="str">
            <v>E2C1139111</v>
          </cell>
          <cell r="B684" t="str">
            <v>I</v>
          </cell>
          <cell r="C684" t="str">
            <v>V1</v>
          </cell>
          <cell r="D684" t="str">
            <v>AI</v>
          </cell>
        </row>
        <row r="685">
          <cell r="A685" t="str">
            <v>E2C1138316</v>
          </cell>
          <cell r="B685" t="str">
            <v>H</v>
          </cell>
          <cell r="C685" t="str">
            <v>JK</v>
          </cell>
          <cell r="D685" t="str">
            <v>AI</v>
          </cell>
        </row>
        <row r="686">
          <cell r="A686" t="str">
            <v>E2C1138938</v>
          </cell>
          <cell r="B686" t="str">
            <v>N</v>
          </cell>
          <cell r="C686" t="str">
            <v>ST</v>
          </cell>
          <cell r="D686" t="str">
            <v>OM</v>
          </cell>
        </row>
        <row r="687">
          <cell r="A687" t="str">
            <v>E2C1138202</v>
          </cell>
          <cell r="B687" t="str">
            <v>I</v>
          </cell>
          <cell r="C687" t="str">
            <v>JK</v>
          </cell>
          <cell r="D687" t="str">
            <v>AI</v>
          </cell>
        </row>
        <row r="688">
          <cell r="A688" t="str">
            <v>E2C1138498</v>
          </cell>
          <cell r="B688" t="str">
            <v>H</v>
          </cell>
          <cell r="C688" t="str">
            <v>VJ</v>
          </cell>
          <cell r="D688" t="str">
            <v>OI</v>
          </cell>
        </row>
        <row r="689">
          <cell r="A689" t="str">
            <v>E2C1139901</v>
          </cell>
          <cell r="B689" t="str">
            <v>N</v>
          </cell>
          <cell r="C689" t="str">
            <v>GL</v>
          </cell>
          <cell r="D689" t="str">
            <v>OE</v>
          </cell>
        </row>
        <row r="690">
          <cell r="A690" t="str">
            <v>E2C1139588</v>
          </cell>
          <cell r="B690" t="str">
            <v>N</v>
          </cell>
          <cell r="C690" t="str">
            <v>SS</v>
          </cell>
          <cell r="D690" t="str">
            <v>OM</v>
          </cell>
        </row>
        <row r="691">
          <cell r="A691" t="str">
            <v>E2C1138192</v>
          </cell>
          <cell r="B691" t="str">
            <v>I</v>
          </cell>
          <cell r="C691" t="str">
            <v>MH</v>
          </cell>
          <cell r="D691" t="str">
            <v>CHB</v>
          </cell>
        </row>
        <row r="692">
          <cell r="A692" t="str">
            <v>E2C1137733</v>
          </cell>
          <cell r="B692" t="str">
            <v>H</v>
          </cell>
          <cell r="C692" t="str">
            <v>V1</v>
          </cell>
          <cell r="D692" t="str">
            <v>AI</v>
          </cell>
        </row>
        <row r="693">
          <cell r="A693" t="str">
            <v>E2C1138163</v>
          </cell>
          <cell r="B693" t="str">
            <v>N</v>
          </cell>
          <cell r="C693" t="str">
            <v>AT</v>
          </cell>
          <cell r="D693" t="str">
            <v>oe</v>
          </cell>
        </row>
        <row r="694">
          <cell r="A694" t="str">
            <v>E2C1138461</v>
          </cell>
          <cell r="B694" t="str">
            <v>I</v>
          </cell>
          <cell r="C694" t="str">
            <v>MH</v>
          </cell>
          <cell r="D694" t="str">
            <v>CHB</v>
          </cell>
        </row>
        <row r="695">
          <cell r="A695" t="str">
            <v>E2C1138147</v>
          </cell>
          <cell r="B695" t="str">
            <v>N</v>
          </cell>
          <cell r="C695" t="str">
            <v>C1</v>
          </cell>
          <cell r="D695" t="str">
            <v>OM</v>
          </cell>
        </row>
        <row r="696">
          <cell r="A696" t="str">
            <v>E2C1139794</v>
          </cell>
          <cell r="B696" t="str">
            <v>H</v>
          </cell>
          <cell r="C696" t="str">
            <v>V1</v>
          </cell>
          <cell r="D696" t="str">
            <v>AI</v>
          </cell>
        </row>
        <row r="697">
          <cell r="A697" t="str">
            <v>E2C1137745</v>
          </cell>
          <cell r="B697" t="str">
            <v>H</v>
          </cell>
          <cell r="C697" t="str">
            <v>JK</v>
          </cell>
          <cell r="D697" t="str">
            <v>AI</v>
          </cell>
        </row>
        <row r="698">
          <cell r="A698" t="str">
            <v>E2C1138250</v>
          </cell>
          <cell r="B698" t="str">
            <v>N</v>
          </cell>
          <cell r="C698" t="str">
            <v>AT</v>
          </cell>
          <cell r="D698" t="str">
            <v>oe</v>
          </cell>
        </row>
        <row r="699">
          <cell r="A699" t="str">
            <v>E2C1137484</v>
          </cell>
          <cell r="B699" t="str">
            <v>H</v>
          </cell>
          <cell r="C699" t="str">
            <v>JK</v>
          </cell>
          <cell r="D699" t="str">
            <v>AI</v>
          </cell>
        </row>
        <row r="700">
          <cell r="A700" t="str">
            <v>E2C1139479</v>
          </cell>
          <cell r="B700" t="str">
            <v>N</v>
          </cell>
          <cell r="C700" t="str">
            <v>AJ</v>
          </cell>
          <cell r="D700" t="str">
            <v>OE</v>
          </cell>
        </row>
        <row r="701">
          <cell r="A701" t="str">
            <v>E2C1137519</v>
          </cell>
          <cell r="B701" t="str">
            <v>H</v>
          </cell>
          <cell r="C701" t="str">
            <v>VJ</v>
          </cell>
          <cell r="D701" t="str">
            <v>OI</v>
          </cell>
        </row>
        <row r="702">
          <cell r="A702" t="str">
            <v>E2C1138215</v>
          </cell>
          <cell r="B702" t="str">
            <v>H</v>
          </cell>
          <cell r="C702" t="str">
            <v>JK</v>
          </cell>
          <cell r="D702" t="str">
            <v>AI</v>
          </cell>
        </row>
        <row r="703">
          <cell r="A703" t="str">
            <v>E2C1137603</v>
          </cell>
          <cell r="B703" t="str">
            <v>H</v>
          </cell>
          <cell r="C703" t="str">
            <v>VJ</v>
          </cell>
          <cell r="D703" t="str">
            <v>OI</v>
          </cell>
        </row>
        <row r="704">
          <cell r="A704" t="str">
            <v>E2C1139720</v>
          </cell>
          <cell r="B704" t="str">
            <v>N</v>
          </cell>
          <cell r="C704" t="str">
            <v>ST</v>
          </cell>
          <cell r="D704" t="str">
            <v>OM</v>
          </cell>
        </row>
        <row r="705">
          <cell r="A705" t="str">
            <v>E2C1139560</v>
          </cell>
          <cell r="B705" t="str">
            <v>N</v>
          </cell>
          <cell r="C705" t="str">
            <v>GL</v>
          </cell>
          <cell r="D705" t="str">
            <v>OE</v>
          </cell>
        </row>
        <row r="706">
          <cell r="A706" t="str">
            <v>E2C1139168</v>
          </cell>
          <cell r="B706" t="str">
            <v>I</v>
          </cell>
          <cell r="C706" t="str">
            <v>MH</v>
          </cell>
          <cell r="D706" t="str">
            <v>CHB</v>
          </cell>
        </row>
        <row r="707">
          <cell r="A707" t="str">
            <v>E2C1137908</v>
          </cell>
          <cell r="B707" t="str">
            <v>N</v>
          </cell>
          <cell r="C707" t="str">
            <v>SS</v>
          </cell>
          <cell r="D707" t="str">
            <v>OM</v>
          </cell>
        </row>
        <row r="708">
          <cell r="A708" t="str">
            <v>E2C1138388</v>
          </cell>
          <cell r="B708" t="str">
            <v>N</v>
          </cell>
          <cell r="C708" t="str">
            <v>AT</v>
          </cell>
          <cell r="D708" t="str">
            <v>oe</v>
          </cell>
        </row>
        <row r="709">
          <cell r="A709" t="str">
            <v>E2C1139575</v>
          </cell>
          <cell r="B709" t="str">
            <v>N</v>
          </cell>
          <cell r="C709" t="str">
            <v>SS</v>
          </cell>
          <cell r="D709" t="str">
            <v>OM</v>
          </cell>
        </row>
        <row r="710">
          <cell r="A710" t="str">
            <v>E2C1139687</v>
          </cell>
          <cell r="B710" t="str">
            <v>N</v>
          </cell>
          <cell r="C710" t="str">
            <v>AT</v>
          </cell>
          <cell r="D710" t="str">
            <v>oe</v>
          </cell>
        </row>
        <row r="711">
          <cell r="A711" t="str">
            <v>E2C1138390</v>
          </cell>
          <cell r="B711" t="str">
            <v>N</v>
          </cell>
          <cell r="C711" t="str">
            <v>GL</v>
          </cell>
          <cell r="D711" t="str">
            <v>OE</v>
          </cell>
        </row>
        <row r="712">
          <cell r="A712" t="str">
            <v>E2C1139707</v>
          </cell>
          <cell r="B712" t="str">
            <v>H</v>
          </cell>
          <cell r="C712" t="str">
            <v>V1</v>
          </cell>
          <cell r="D712" t="str">
            <v>AI</v>
          </cell>
        </row>
        <row r="713">
          <cell r="A713" t="str">
            <v>E2C1137731</v>
          </cell>
          <cell r="B713" t="str">
            <v>H</v>
          </cell>
          <cell r="C713" t="str">
            <v>V1</v>
          </cell>
          <cell r="D713" t="str">
            <v>AI</v>
          </cell>
        </row>
        <row r="714">
          <cell r="A714" t="str">
            <v>E2C1139761</v>
          </cell>
          <cell r="B714" t="str">
            <v>H</v>
          </cell>
          <cell r="C714" t="str">
            <v>V1</v>
          </cell>
          <cell r="D714" t="str">
            <v>AI</v>
          </cell>
        </row>
        <row r="715">
          <cell r="A715" t="str">
            <v>E2C1137985</v>
          </cell>
          <cell r="B715" t="str">
            <v>H</v>
          </cell>
          <cell r="C715" t="str">
            <v>VJ</v>
          </cell>
          <cell r="D715" t="str">
            <v>OI</v>
          </cell>
        </row>
        <row r="716">
          <cell r="A716" t="str">
            <v>E2C1139445</v>
          </cell>
          <cell r="B716" t="str">
            <v>N</v>
          </cell>
          <cell r="C716" t="str">
            <v>AJ</v>
          </cell>
          <cell r="D716" t="str">
            <v>OE</v>
          </cell>
        </row>
        <row r="717">
          <cell r="A717" t="str">
            <v>E2C1139739</v>
          </cell>
          <cell r="B717" t="str">
            <v>N</v>
          </cell>
          <cell r="C717" t="str">
            <v>ST</v>
          </cell>
          <cell r="D717" t="str">
            <v>OM</v>
          </cell>
        </row>
        <row r="718">
          <cell r="A718" t="str">
            <v>E2C1137712</v>
          </cell>
          <cell r="B718" t="str">
            <v>H</v>
          </cell>
          <cell r="C718" t="str">
            <v>JK</v>
          </cell>
          <cell r="D718" t="str">
            <v>AI</v>
          </cell>
        </row>
        <row r="719">
          <cell r="A719" t="str">
            <v>E2C1138410</v>
          </cell>
          <cell r="B719" t="str">
            <v>N</v>
          </cell>
          <cell r="C719" t="str">
            <v>AT</v>
          </cell>
          <cell r="D719" t="str">
            <v>oe</v>
          </cell>
        </row>
        <row r="720">
          <cell r="A720" t="str">
            <v>E2C1139904</v>
          </cell>
          <cell r="B720" t="str">
            <v>N</v>
          </cell>
          <cell r="C720" t="str">
            <v>GL</v>
          </cell>
          <cell r="D720" t="str">
            <v>OE</v>
          </cell>
        </row>
        <row r="721">
          <cell r="A721" t="str">
            <v>E2C1138418</v>
          </cell>
          <cell r="B721" t="str">
            <v>N</v>
          </cell>
          <cell r="C721" t="str">
            <v>AT</v>
          </cell>
          <cell r="D721" t="str">
            <v>oe</v>
          </cell>
        </row>
        <row r="722">
          <cell r="A722" t="str">
            <v>E2C1138010</v>
          </cell>
          <cell r="B722" t="str">
            <v>I</v>
          </cell>
          <cell r="C722" t="str">
            <v>JK</v>
          </cell>
          <cell r="D722" t="str">
            <v>AI</v>
          </cell>
        </row>
        <row r="723">
          <cell r="A723" t="str">
            <v>E2C1138098</v>
          </cell>
          <cell r="B723" t="str">
            <v>N</v>
          </cell>
          <cell r="C723" t="str">
            <v>AT</v>
          </cell>
          <cell r="D723" t="str">
            <v>oe</v>
          </cell>
        </row>
        <row r="724">
          <cell r="A724" t="str">
            <v>E2C1138365</v>
          </cell>
          <cell r="B724" t="str">
            <v>F</v>
          </cell>
          <cell r="C724" t="str">
            <v>SY</v>
          </cell>
          <cell r="D724" t="str">
            <v>CHB</v>
          </cell>
        </row>
        <row r="725">
          <cell r="A725" t="str">
            <v>E2C1138088</v>
          </cell>
          <cell r="B725" t="str">
            <v>N</v>
          </cell>
          <cell r="C725" t="str">
            <v>AT</v>
          </cell>
          <cell r="D725" t="str">
            <v>oe</v>
          </cell>
        </row>
        <row r="726">
          <cell r="A726" t="str">
            <v>E2C1137843</v>
          </cell>
          <cell r="B726" t="str">
            <v>H</v>
          </cell>
          <cell r="C726" t="str">
            <v>V1</v>
          </cell>
          <cell r="D726" t="str">
            <v>AI</v>
          </cell>
        </row>
        <row r="727">
          <cell r="A727" t="str">
            <v>E2C1138111</v>
          </cell>
          <cell r="B727" t="str">
            <v>N</v>
          </cell>
          <cell r="C727" t="str">
            <v>AT</v>
          </cell>
          <cell r="D727" t="str">
            <v>oe</v>
          </cell>
        </row>
        <row r="728">
          <cell r="A728" t="str">
            <v>E2C1137849</v>
          </cell>
          <cell r="B728" t="str">
            <v>I</v>
          </cell>
          <cell r="C728" t="str">
            <v>JK</v>
          </cell>
          <cell r="D728" t="str">
            <v>AI</v>
          </cell>
        </row>
        <row r="729">
          <cell r="A729" t="str">
            <v>E2C1137615</v>
          </cell>
          <cell r="B729" t="str">
            <v>H</v>
          </cell>
          <cell r="C729" t="str">
            <v>V1</v>
          </cell>
          <cell r="D729" t="str">
            <v>AI</v>
          </cell>
        </row>
        <row r="730">
          <cell r="A730" t="str">
            <v>E2C1139868</v>
          </cell>
          <cell r="B730" t="str">
            <v>N</v>
          </cell>
          <cell r="C730" t="str">
            <v>GL</v>
          </cell>
          <cell r="D730" t="str">
            <v>OE</v>
          </cell>
        </row>
        <row r="731">
          <cell r="A731" t="str">
            <v>E2C1139003</v>
          </cell>
          <cell r="B731" t="str">
            <v>I</v>
          </cell>
          <cell r="C731" t="str">
            <v>SY</v>
          </cell>
          <cell r="D731" t="str">
            <v>CHB</v>
          </cell>
        </row>
        <row r="732">
          <cell r="A732" t="str">
            <v>E2C1139151</v>
          </cell>
          <cell r="B732" t="str">
            <v>N</v>
          </cell>
          <cell r="C732" t="str">
            <v>GL</v>
          </cell>
          <cell r="D732" t="str">
            <v>OE</v>
          </cell>
        </row>
        <row r="733">
          <cell r="A733" t="str">
            <v>E2C1137621</v>
          </cell>
          <cell r="B733" t="str">
            <v>H</v>
          </cell>
          <cell r="C733" t="str">
            <v>V1</v>
          </cell>
          <cell r="D733" t="str">
            <v>AI</v>
          </cell>
        </row>
        <row r="734">
          <cell r="A734" t="str">
            <v>E2C1139457</v>
          </cell>
          <cell r="B734" t="str">
            <v>H</v>
          </cell>
          <cell r="C734" t="str">
            <v>V1</v>
          </cell>
          <cell r="D734" t="str">
            <v>AI</v>
          </cell>
        </row>
        <row r="735">
          <cell r="A735" t="str">
            <v>E2C1139698</v>
          </cell>
          <cell r="B735" t="str">
            <v>N</v>
          </cell>
          <cell r="C735" t="str">
            <v>ST</v>
          </cell>
          <cell r="D735" t="str">
            <v>OM</v>
          </cell>
        </row>
        <row r="736">
          <cell r="A736" t="str">
            <v>E2C1139597</v>
          </cell>
          <cell r="B736" t="str">
            <v>N</v>
          </cell>
          <cell r="C736" t="str">
            <v>SS</v>
          </cell>
          <cell r="D736" t="str">
            <v>OM</v>
          </cell>
        </row>
        <row r="737">
          <cell r="A737" t="str">
            <v>E2C1139596</v>
          </cell>
          <cell r="B737" t="str">
            <v>N</v>
          </cell>
          <cell r="C737" t="str">
            <v>SS</v>
          </cell>
          <cell r="D737" t="str">
            <v>OM</v>
          </cell>
        </row>
        <row r="738">
          <cell r="A738" t="str">
            <v>E2C1139570</v>
          </cell>
          <cell r="B738" t="str">
            <v>N</v>
          </cell>
          <cell r="C738" t="str">
            <v>AT</v>
          </cell>
          <cell r="D738" t="str">
            <v>oe</v>
          </cell>
        </row>
        <row r="739">
          <cell r="A739" t="str">
            <v>E2C1139732</v>
          </cell>
          <cell r="B739" t="str">
            <v>N</v>
          </cell>
          <cell r="C739" t="str">
            <v>ST</v>
          </cell>
          <cell r="D739" t="str">
            <v>OM</v>
          </cell>
        </row>
        <row r="740">
          <cell r="A740" t="str">
            <v>E2C1139143</v>
          </cell>
          <cell r="B740" t="str">
            <v>H</v>
          </cell>
          <cell r="C740" t="str">
            <v>V1</v>
          </cell>
          <cell r="D740" t="str">
            <v>AI</v>
          </cell>
        </row>
        <row r="741">
          <cell r="A741" t="str">
            <v>E2C1138122</v>
          </cell>
          <cell r="B741" t="str">
            <v>I</v>
          </cell>
          <cell r="C741" t="str">
            <v>JK</v>
          </cell>
          <cell r="D741" t="str">
            <v>AI</v>
          </cell>
        </row>
        <row r="742">
          <cell r="A742" t="str">
            <v>E2C1138608</v>
          </cell>
          <cell r="B742" t="str">
            <v>H</v>
          </cell>
          <cell r="C742" t="str">
            <v>JK</v>
          </cell>
          <cell r="D742" t="str">
            <v>AI</v>
          </cell>
        </row>
        <row r="743">
          <cell r="A743" t="str">
            <v>E2C1138198</v>
          </cell>
          <cell r="B743" t="str">
            <v>I</v>
          </cell>
          <cell r="C743" t="str">
            <v>JK</v>
          </cell>
          <cell r="D743" t="str">
            <v>AI</v>
          </cell>
        </row>
        <row r="744">
          <cell r="A744" t="str">
            <v>E2C1139368</v>
          </cell>
          <cell r="B744" t="str">
            <v>N</v>
          </cell>
          <cell r="C744" t="str">
            <v>GL</v>
          </cell>
          <cell r="D744" t="str">
            <v>OE</v>
          </cell>
        </row>
        <row r="745">
          <cell r="A745" t="str">
            <v>E2C1138082</v>
          </cell>
          <cell r="B745" t="str">
            <v>H</v>
          </cell>
          <cell r="C745" t="str">
            <v>JK</v>
          </cell>
          <cell r="D745" t="str">
            <v>AI</v>
          </cell>
        </row>
        <row r="746">
          <cell r="A746" t="str">
            <v>E2C1139631</v>
          </cell>
          <cell r="B746" t="str">
            <v>N</v>
          </cell>
          <cell r="C746" t="str">
            <v>AJ</v>
          </cell>
          <cell r="D746" t="str">
            <v>OE</v>
          </cell>
        </row>
        <row r="747">
          <cell r="A747" t="str">
            <v>E2C1138840</v>
          </cell>
          <cell r="B747" t="str">
            <v>I</v>
          </cell>
          <cell r="C747" t="str">
            <v>PD</v>
          </cell>
          <cell r="D747" t="str">
            <v>CHB</v>
          </cell>
        </row>
        <row r="748">
          <cell r="A748" t="str">
            <v>E2C1138824</v>
          </cell>
          <cell r="B748" t="str">
            <v>H</v>
          </cell>
          <cell r="C748" t="str">
            <v>JK</v>
          </cell>
          <cell r="D748" t="str">
            <v>AI</v>
          </cell>
        </row>
        <row r="749">
          <cell r="A749" t="str">
            <v>E2C1138441</v>
          </cell>
          <cell r="B749" t="str">
            <v>I</v>
          </cell>
          <cell r="C749" t="str">
            <v>MH</v>
          </cell>
          <cell r="D749" t="str">
            <v>CHB</v>
          </cell>
        </row>
        <row r="750">
          <cell r="A750" t="str">
            <v>E2C1139716</v>
          </cell>
          <cell r="B750" t="str">
            <v>H</v>
          </cell>
          <cell r="C750" t="str">
            <v>V1</v>
          </cell>
          <cell r="D750" t="str">
            <v>AI</v>
          </cell>
        </row>
        <row r="751">
          <cell r="A751" t="str">
            <v>E2C1138143</v>
          </cell>
          <cell r="B751" t="str">
            <v>N</v>
          </cell>
          <cell r="C751" t="str">
            <v>C1</v>
          </cell>
          <cell r="D751" t="str">
            <v>OM</v>
          </cell>
        </row>
        <row r="752">
          <cell r="A752" t="str">
            <v>E2C1137813</v>
          </cell>
          <cell r="B752" t="str">
            <v>H</v>
          </cell>
          <cell r="C752" t="str">
            <v>JK</v>
          </cell>
          <cell r="D752" t="str">
            <v>AI</v>
          </cell>
        </row>
        <row r="753">
          <cell r="A753" t="str">
            <v>E2C1137814</v>
          </cell>
          <cell r="B753" t="str">
            <v>H</v>
          </cell>
          <cell r="C753" t="str">
            <v>JK</v>
          </cell>
          <cell r="D753" t="str">
            <v>AI</v>
          </cell>
        </row>
        <row r="754">
          <cell r="A754" t="str">
            <v>E2C1137816</v>
          </cell>
          <cell r="B754" t="str">
            <v>H</v>
          </cell>
          <cell r="C754" t="str">
            <v>JK</v>
          </cell>
          <cell r="D754" t="str">
            <v>AI</v>
          </cell>
        </row>
        <row r="755">
          <cell r="A755" t="str">
            <v>E2C1138330</v>
          </cell>
          <cell r="B755" t="str">
            <v>N</v>
          </cell>
          <cell r="C755" t="str">
            <v>AT</v>
          </cell>
          <cell r="D755" t="str">
            <v>oe</v>
          </cell>
        </row>
        <row r="756">
          <cell r="A756" t="str">
            <v>E2C1137625</v>
          </cell>
          <cell r="B756" t="str">
            <v>H</v>
          </cell>
          <cell r="C756" t="str">
            <v>CR</v>
          </cell>
          <cell r="D756" t="str">
            <v>AI</v>
          </cell>
        </row>
        <row r="757">
          <cell r="A757" t="str">
            <v>E2C1137742</v>
          </cell>
          <cell r="B757" t="str">
            <v>H</v>
          </cell>
          <cell r="C757" t="str">
            <v>V1</v>
          </cell>
          <cell r="D757" t="str">
            <v>AI</v>
          </cell>
        </row>
        <row r="758">
          <cell r="A758" t="str">
            <v>E2C1139812</v>
          </cell>
          <cell r="B758" t="str">
            <v>H</v>
          </cell>
          <cell r="C758" t="str">
            <v>V1</v>
          </cell>
          <cell r="D758" t="str">
            <v>AI</v>
          </cell>
        </row>
        <row r="759">
          <cell r="A759" t="str">
            <v>E2C1138175</v>
          </cell>
          <cell r="B759" t="str">
            <v>H</v>
          </cell>
          <cell r="C759" t="str">
            <v>VJ</v>
          </cell>
          <cell r="D759" t="str">
            <v>OI</v>
          </cell>
        </row>
        <row r="760">
          <cell r="A760" t="str">
            <v>E2C1139051</v>
          </cell>
          <cell r="B760" t="str">
            <v>N</v>
          </cell>
          <cell r="C760" t="str">
            <v>AT</v>
          </cell>
          <cell r="D760" t="str">
            <v>oe</v>
          </cell>
        </row>
        <row r="761">
          <cell r="A761" t="str">
            <v>E2C1139079</v>
          </cell>
          <cell r="B761" t="str">
            <v>N</v>
          </cell>
          <cell r="C761" t="str">
            <v>ST</v>
          </cell>
          <cell r="D761" t="str">
            <v>OM</v>
          </cell>
        </row>
        <row r="762">
          <cell r="A762" t="str">
            <v>E2C1137817</v>
          </cell>
          <cell r="B762" t="str">
            <v>H</v>
          </cell>
          <cell r="C762" t="str">
            <v>JK</v>
          </cell>
          <cell r="D762" t="str">
            <v>AI</v>
          </cell>
        </row>
        <row r="763">
          <cell r="A763" t="str">
            <v>E2C1137627</v>
          </cell>
          <cell r="B763" t="str">
            <v>H</v>
          </cell>
          <cell r="C763" t="str">
            <v>CR</v>
          </cell>
          <cell r="D763" t="str">
            <v>AI</v>
          </cell>
        </row>
        <row r="764">
          <cell r="A764" t="str">
            <v>E2C1137631</v>
          </cell>
          <cell r="B764" t="str">
            <v>H</v>
          </cell>
          <cell r="C764" t="str">
            <v>V1</v>
          </cell>
          <cell r="D764" t="str">
            <v>AI</v>
          </cell>
        </row>
        <row r="765">
          <cell r="A765" t="str">
            <v>E2C1139249</v>
          </cell>
          <cell r="B765" t="str">
            <v>I</v>
          </cell>
          <cell r="C765" t="str">
            <v>V1</v>
          </cell>
          <cell r="D765" t="str">
            <v>AI</v>
          </cell>
        </row>
        <row r="766">
          <cell r="A766" t="str">
            <v>E2C1137873</v>
          </cell>
          <cell r="B766" t="str">
            <v>H</v>
          </cell>
          <cell r="C766" t="str">
            <v>JK</v>
          </cell>
          <cell r="D766" t="str">
            <v>AI</v>
          </cell>
        </row>
        <row r="767">
          <cell r="A767" t="str">
            <v>E2C1139104</v>
          </cell>
          <cell r="B767" t="str">
            <v>N</v>
          </cell>
          <cell r="C767" t="str">
            <v>ST</v>
          </cell>
          <cell r="D767" t="str">
            <v>OM</v>
          </cell>
        </row>
        <row r="768">
          <cell r="A768" t="str">
            <v>E2C1139127</v>
          </cell>
          <cell r="B768" t="str">
            <v>N</v>
          </cell>
          <cell r="C768" t="str">
            <v>ST</v>
          </cell>
          <cell r="D768" t="str">
            <v>OM</v>
          </cell>
        </row>
        <row r="769">
          <cell r="A769" t="str">
            <v>E2C1139689</v>
          </cell>
          <cell r="B769" t="str">
            <v>H</v>
          </cell>
          <cell r="C769" t="str">
            <v>V1</v>
          </cell>
          <cell r="D769" t="str">
            <v>AI</v>
          </cell>
        </row>
        <row r="770">
          <cell r="A770" t="str">
            <v>E2C1137710</v>
          </cell>
          <cell r="B770" t="str">
            <v>H</v>
          </cell>
          <cell r="C770" t="str">
            <v>V1</v>
          </cell>
          <cell r="D770" t="str">
            <v>AI</v>
          </cell>
        </row>
        <row r="771">
          <cell r="A771" t="str">
            <v>E2C1139380</v>
          </cell>
          <cell r="B771" t="str">
            <v>I</v>
          </cell>
          <cell r="C771" t="str">
            <v>PD</v>
          </cell>
          <cell r="D771" t="str">
            <v>CHB</v>
          </cell>
        </row>
        <row r="772">
          <cell r="A772" t="str">
            <v>E2C1138155</v>
          </cell>
          <cell r="B772" t="str">
            <v>H</v>
          </cell>
          <cell r="C772" t="str">
            <v>VJ</v>
          </cell>
          <cell r="D772" t="str">
            <v>OI</v>
          </cell>
        </row>
        <row r="773">
          <cell r="A773" t="str">
            <v>E2C1138585</v>
          </cell>
          <cell r="B773" t="str">
            <v>N</v>
          </cell>
          <cell r="C773" t="str">
            <v>ST</v>
          </cell>
          <cell r="D773" t="str">
            <v>OM</v>
          </cell>
        </row>
        <row r="774">
          <cell r="A774" t="str">
            <v>C12989799</v>
          </cell>
          <cell r="B774" t="str">
            <v>H</v>
          </cell>
          <cell r="C774" t="str">
            <v>VJ</v>
          </cell>
          <cell r="D774" t="str">
            <v>OI</v>
          </cell>
        </row>
        <row r="775">
          <cell r="A775" t="str">
            <v>E2C1138610</v>
          </cell>
          <cell r="B775" t="str">
            <v>H</v>
          </cell>
          <cell r="C775" t="str">
            <v>JK</v>
          </cell>
          <cell r="D775" t="str">
            <v>AI</v>
          </cell>
        </row>
        <row r="776">
          <cell r="A776" t="str">
            <v>E2C1139366</v>
          </cell>
          <cell r="B776" t="str">
            <v>N</v>
          </cell>
          <cell r="C776" t="str">
            <v>GL</v>
          </cell>
          <cell r="D776" t="str">
            <v>OE</v>
          </cell>
        </row>
        <row r="777">
          <cell r="A777" t="str">
            <v>E2C1138905</v>
          </cell>
          <cell r="B777" t="str">
            <v>H</v>
          </cell>
          <cell r="C777" t="str">
            <v>VI</v>
          </cell>
          <cell r="D777" t="str">
            <v>OI</v>
          </cell>
        </row>
        <row r="778">
          <cell r="A778" t="str">
            <v>E2C1138240</v>
          </cell>
          <cell r="B778" t="str">
            <v>I</v>
          </cell>
          <cell r="C778" t="str">
            <v>PD</v>
          </cell>
          <cell r="D778" t="str">
            <v>CHB</v>
          </cell>
        </row>
        <row r="779">
          <cell r="A779" t="str">
            <v>E2C1139566</v>
          </cell>
          <cell r="B779" t="str">
            <v>N</v>
          </cell>
          <cell r="C779" t="str">
            <v>AT</v>
          </cell>
          <cell r="D779" t="str">
            <v>oe</v>
          </cell>
        </row>
        <row r="780">
          <cell r="A780" t="str">
            <v>E2C1137833</v>
          </cell>
          <cell r="B780" t="str">
            <v>I</v>
          </cell>
          <cell r="C780" t="str">
            <v>PD</v>
          </cell>
          <cell r="D780" t="str">
            <v>CHB</v>
          </cell>
        </row>
        <row r="781">
          <cell r="A781" t="str">
            <v>E2C1137832</v>
          </cell>
          <cell r="B781" t="str">
            <v>I</v>
          </cell>
          <cell r="C781" t="str">
            <v>PD</v>
          </cell>
          <cell r="D781" t="str">
            <v>CHB</v>
          </cell>
        </row>
        <row r="782">
          <cell r="A782" t="str">
            <v>E2C1138754</v>
          </cell>
          <cell r="B782" t="str">
            <v>H</v>
          </cell>
          <cell r="C782" t="str">
            <v>VI</v>
          </cell>
          <cell r="D782" t="str">
            <v>OI</v>
          </cell>
        </row>
        <row r="783">
          <cell r="A783" t="str">
            <v>E2C1138141</v>
          </cell>
          <cell r="B783" t="str">
            <v>N</v>
          </cell>
          <cell r="C783" t="str">
            <v>SS</v>
          </cell>
          <cell r="D783" t="str">
            <v>OM</v>
          </cell>
        </row>
        <row r="784">
          <cell r="A784" t="str">
            <v>E2C1138495</v>
          </cell>
          <cell r="B784" t="str">
            <v>I</v>
          </cell>
          <cell r="C784" t="str">
            <v>VJ</v>
          </cell>
          <cell r="D784" t="str">
            <v>OI</v>
          </cell>
        </row>
        <row r="785">
          <cell r="A785" t="str">
            <v>E2C1139715</v>
          </cell>
          <cell r="B785" t="str">
            <v>N</v>
          </cell>
          <cell r="C785" t="str">
            <v>ST</v>
          </cell>
          <cell r="D785" t="str">
            <v>OM</v>
          </cell>
        </row>
        <row r="786">
          <cell r="A786" t="str">
            <v>E2C1138665</v>
          </cell>
          <cell r="B786" t="str">
            <v>N</v>
          </cell>
          <cell r="C786" t="str">
            <v>AJ</v>
          </cell>
          <cell r="D786" t="str">
            <v>OE</v>
          </cell>
        </row>
        <row r="787">
          <cell r="A787" t="str">
            <v>E2C1138054</v>
          </cell>
          <cell r="B787" t="str">
            <v>H</v>
          </cell>
          <cell r="C787" t="str">
            <v>VJ</v>
          </cell>
          <cell r="D787" t="str">
            <v>OI</v>
          </cell>
        </row>
        <row r="788">
          <cell r="A788" t="str">
            <v>E2C1137682</v>
          </cell>
          <cell r="B788" t="str">
            <v>H</v>
          </cell>
          <cell r="C788" t="str">
            <v>V1</v>
          </cell>
          <cell r="D788" t="str">
            <v>AI</v>
          </cell>
        </row>
        <row r="789">
          <cell r="A789" t="str">
            <v>E2C1138788</v>
          </cell>
          <cell r="B789" t="str">
            <v>H</v>
          </cell>
          <cell r="C789" t="str">
            <v>JK</v>
          </cell>
          <cell r="D789" t="str">
            <v>AI</v>
          </cell>
        </row>
        <row r="790">
          <cell r="A790" t="str">
            <v>E2C1138660</v>
          </cell>
          <cell r="B790" t="str">
            <v>I</v>
          </cell>
          <cell r="C790" t="str">
            <v>JK</v>
          </cell>
          <cell r="D790" t="str">
            <v>AI</v>
          </cell>
        </row>
        <row r="791">
          <cell r="A791" t="str">
            <v>E2C1139684</v>
          </cell>
          <cell r="B791" t="str">
            <v>I</v>
          </cell>
          <cell r="C791" t="str">
            <v>V1</v>
          </cell>
          <cell r="D791" t="str">
            <v>AI</v>
          </cell>
        </row>
        <row r="792">
          <cell r="A792" t="str">
            <v>E2C1137722</v>
          </cell>
          <cell r="B792" t="str">
            <v>H</v>
          </cell>
          <cell r="C792" t="str">
            <v>V1</v>
          </cell>
          <cell r="D792" t="str">
            <v>AI</v>
          </cell>
        </row>
        <row r="793">
          <cell r="A793" t="str">
            <v>E2C1137688</v>
          </cell>
          <cell r="B793" t="str">
            <v>H</v>
          </cell>
          <cell r="C793" t="str">
            <v>V1</v>
          </cell>
          <cell r="D793" t="str">
            <v>AI</v>
          </cell>
        </row>
        <row r="794">
          <cell r="A794" t="str">
            <v>E2C1138235</v>
          </cell>
          <cell r="B794" t="str">
            <v>H</v>
          </cell>
          <cell r="C794" t="str">
            <v>VJ</v>
          </cell>
          <cell r="D794" t="str">
            <v>OI</v>
          </cell>
        </row>
        <row r="795">
          <cell r="A795" t="str">
            <v>E2C1138151</v>
          </cell>
          <cell r="B795" t="str">
            <v>H</v>
          </cell>
          <cell r="C795" t="str">
            <v>VJ</v>
          </cell>
          <cell r="D795" t="str">
            <v>OI</v>
          </cell>
        </row>
        <row r="796">
          <cell r="A796" t="str">
            <v>E2C1137605</v>
          </cell>
          <cell r="B796" t="str">
            <v>H</v>
          </cell>
          <cell r="C796" t="str">
            <v>JK</v>
          </cell>
          <cell r="D796" t="str">
            <v>AI</v>
          </cell>
        </row>
        <row r="797">
          <cell r="A797" t="str">
            <v>E2C1139695</v>
          </cell>
          <cell r="B797" t="str">
            <v>N</v>
          </cell>
          <cell r="C797" t="str">
            <v>ST</v>
          </cell>
          <cell r="D797" t="str">
            <v>OM</v>
          </cell>
        </row>
        <row r="798">
          <cell r="A798" t="str">
            <v>E2C1139738</v>
          </cell>
          <cell r="B798" t="str">
            <v>N</v>
          </cell>
          <cell r="C798" t="str">
            <v>ST</v>
          </cell>
          <cell r="D798" t="str">
            <v>OM</v>
          </cell>
        </row>
        <row r="799">
          <cell r="A799" t="str">
            <v>E2C1137608</v>
          </cell>
          <cell r="B799" t="str">
            <v>H</v>
          </cell>
          <cell r="C799" t="str">
            <v>JK</v>
          </cell>
          <cell r="D799" t="str">
            <v>AI</v>
          </cell>
        </row>
        <row r="800">
          <cell r="A800" t="str">
            <v>E2C1137479</v>
          </cell>
          <cell r="B800" t="str">
            <v>I</v>
          </cell>
          <cell r="C800" t="str">
            <v>VJ</v>
          </cell>
          <cell r="D800" t="str">
            <v>OI</v>
          </cell>
        </row>
        <row r="801">
          <cell r="A801" t="str">
            <v>E2C1137516</v>
          </cell>
          <cell r="B801" t="str">
            <v>H</v>
          </cell>
          <cell r="C801" t="str">
            <v>VJ</v>
          </cell>
          <cell r="D801" t="str">
            <v>OI</v>
          </cell>
        </row>
        <row r="802">
          <cell r="A802" t="str">
            <v>E2C1137872</v>
          </cell>
          <cell r="B802" t="str">
            <v>H</v>
          </cell>
          <cell r="C802" t="str">
            <v>V1</v>
          </cell>
          <cell r="D802" t="str">
            <v>AI</v>
          </cell>
        </row>
        <row r="803">
          <cell r="A803" t="str">
            <v>E2C1139577</v>
          </cell>
          <cell r="B803" t="str">
            <v>N</v>
          </cell>
          <cell r="C803" t="str">
            <v>AT</v>
          </cell>
          <cell r="D803" t="str">
            <v>oe</v>
          </cell>
        </row>
        <row r="804">
          <cell r="A804" t="str">
            <v>E2C1137673</v>
          </cell>
          <cell r="B804" t="str">
            <v>I</v>
          </cell>
          <cell r="C804" t="str">
            <v>V1</v>
          </cell>
          <cell r="D804" t="str">
            <v>AI</v>
          </cell>
        </row>
        <row r="805">
          <cell r="A805" t="str">
            <v>E2C1138112</v>
          </cell>
          <cell r="B805" t="str">
            <v>I</v>
          </cell>
          <cell r="C805" t="str">
            <v>JK</v>
          </cell>
          <cell r="D805" t="str">
            <v>AI</v>
          </cell>
        </row>
        <row r="806">
          <cell r="A806" t="str">
            <v>E2C1138134</v>
          </cell>
          <cell r="B806" t="str">
            <v>I</v>
          </cell>
          <cell r="C806" t="str">
            <v>JK</v>
          </cell>
          <cell r="D806" t="str">
            <v>AI</v>
          </cell>
        </row>
        <row r="807">
          <cell r="A807" t="str">
            <v>E2C1137483</v>
          </cell>
          <cell r="B807" t="str">
            <v>N</v>
          </cell>
          <cell r="C807" t="str">
            <v>ST</v>
          </cell>
          <cell r="D807" t="str">
            <v>OM</v>
          </cell>
        </row>
        <row r="808">
          <cell r="A808" t="str">
            <v>E2C1137995</v>
          </cell>
          <cell r="B808" t="str">
            <v>H</v>
          </cell>
          <cell r="C808" t="str">
            <v>VJ</v>
          </cell>
          <cell r="D808" t="str">
            <v>OI</v>
          </cell>
        </row>
        <row r="809">
          <cell r="A809" t="str">
            <v>E2C1137855</v>
          </cell>
          <cell r="B809" t="str">
            <v>H</v>
          </cell>
          <cell r="C809" t="str">
            <v>V1</v>
          </cell>
          <cell r="D809" t="str">
            <v>AI</v>
          </cell>
        </row>
        <row r="810">
          <cell r="A810" t="str">
            <v>E2C1137739</v>
          </cell>
          <cell r="B810" t="str">
            <v>H</v>
          </cell>
          <cell r="C810" t="str">
            <v>JK</v>
          </cell>
          <cell r="D810" t="str">
            <v>AI</v>
          </cell>
        </row>
        <row r="811">
          <cell r="A811" t="str">
            <v>E2C1138870</v>
          </cell>
          <cell r="B811" t="str">
            <v>H</v>
          </cell>
          <cell r="C811" t="str">
            <v>JK</v>
          </cell>
          <cell r="D811" t="str">
            <v>AI</v>
          </cell>
        </row>
        <row r="812">
          <cell r="A812" t="str">
            <v>E2C1137676</v>
          </cell>
          <cell r="B812" t="str">
            <v>I</v>
          </cell>
          <cell r="C812" t="str">
            <v>V1</v>
          </cell>
          <cell r="D812" t="str">
            <v>AI</v>
          </cell>
        </row>
        <row r="813">
          <cell r="A813" t="str">
            <v>E2C1138136</v>
          </cell>
          <cell r="B813" t="str">
            <v>H</v>
          </cell>
          <cell r="C813" t="str">
            <v>VJ</v>
          </cell>
          <cell r="D813" t="str">
            <v>OI</v>
          </cell>
        </row>
        <row r="814">
          <cell r="A814" t="str">
            <v>E2C1137689</v>
          </cell>
          <cell r="B814" t="str">
            <v>H</v>
          </cell>
          <cell r="C814" t="str">
            <v>JK</v>
          </cell>
          <cell r="D814" t="str">
            <v>AI</v>
          </cell>
        </row>
        <row r="815">
          <cell r="A815" t="str">
            <v>E2C1138612</v>
          </cell>
          <cell r="B815" t="str">
            <v>H</v>
          </cell>
          <cell r="C815" t="str">
            <v>JK</v>
          </cell>
          <cell r="D815" t="str">
            <v>AI</v>
          </cell>
        </row>
        <row r="816">
          <cell r="A816" t="str">
            <v>E2C1137617</v>
          </cell>
          <cell r="B816" t="str">
            <v>H</v>
          </cell>
          <cell r="C816" t="str">
            <v>V1</v>
          </cell>
          <cell r="D816" t="str">
            <v>AI</v>
          </cell>
        </row>
        <row r="817">
          <cell r="A817" t="str">
            <v>E2C1138761</v>
          </cell>
          <cell r="B817" t="str">
            <v>H</v>
          </cell>
          <cell r="C817" t="str">
            <v>JK</v>
          </cell>
          <cell r="D817" t="str">
            <v>AI</v>
          </cell>
        </row>
        <row r="818">
          <cell r="A818" t="str">
            <v>E2C1138643</v>
          </cell>
          <cell r="B818" t="str">
            <v>N</v>
          </cell>
          <cell r="C818" t="str">
            <v>GL</v>
          </cell>
          <cell r="D818" t="str">
            <v>OE</v>
          </cell>
        </row>
        <row r="819">
          <cell r="A819" t="str">
            <v>E2C1138778</v>
          </cell>
          <cell r="B819" t="str">
            <v>H</v>
          </cell>
          <cell r="C819" t="str">
            <v>JK</v>
          </cell>
          <cell r="D819" t="str">
            <v>AI</v>
          </cell>
        </row>
        <row r="820">
          <cell r="A820" t="str">
            <v>E2C1139903</v>
          </cell>
          <cell r="B820" t="str">
            <v>N</v>
          </cell>
          <cell r="C820" t="str">
            <v>GL</v>
          </cell>
          <cell r="D820" t="str">
            <v>OE</v>
          </cell>
        </row>
        <row r="821">
          <cell r="A821" t="str">
            <v>E2C1139584</v>
          </cell>
          <cell r="B821" t="str">
            <v>N</v>
          </cell>
          <cell r="C821" t="str">
            <v>SS</v>
          </cell>
          <cell r="D821" t="str">
            <v>OM</v>
          </cell>
        </row>
        <row r="822">
          <cell r="A822" t="str">
            <v>E2C1137800</v>
          </cell>
          <cell r="B822" t="str">
            <v>N</v>
          </cell>
          <cell r="C822" t="str">
            <v>ST</v>
          </cell>
          <cell r="D822" t="str">
            <v>OM</v>
          </cell>
        </row>
        <row r="823">
          <cell r="A823" t="str">
            <v>E2C1138772</v>
          </cell>
          <cell r="B823" t="str">
            <v>H</v>
          </cell>
          <cell r="C823" t="str">
            <v>JK</v>
          </cell>
          <cell r="D823" t="str">
            <v>AI</v>
          </cell>
        </row>
        <row r="824">
          <cell r="A824" t="str">
            <v>E2C1139701</v>
          </cell>
          <cell r="B824" t="str">
            <v>N</v>
          </cell>
          <cell r="C824" t="str">
            <v>ST</v>
          </cell>
          <cell r="D824" t="str">
            <v>OM</v>
          </cell>
        </row>
        <row r="825">
          <cell r="A825" t="str">
            <v>E2C1139097</v>
          </cell>
          <cell r="B825" t="str">
            <v>H</v>
          </cell>
          <cell r="C825" t="str">
            <v>V1</v>
          </cell>
          <cell r="D825" t="str">
            <v>AI</v>
          </cell>
        </row>
        <row r="826">
          <cell r="A826" t="str">
            <v>E2C1138796</v>
          </cell>
          <cell r="B826" t="str">
            <v>H</v>
          </cell>
          <cell r="C826" t="str">
            <v>JK</v>
          </cell>
          <cell r="D826" t="str">
            <v>AI</v>
          </cell>
        </row>
        <row r="827">
          <cell r="A827" t="str">
            <v>E2C1139589</v>
          </cell>
          <cell r="B827" t="str">
            <v>N</v>
          </cell>
          <cell r="C827" t="str">
            <v>SB</v>
          </cell>
          <cell r="D827" t="str">
            <v>OE</v>
          </cell>
        </row>
        <row r="828">
          <cell r="A828" t="str">
            <v>E2C1138164</v>
          </cell>
          <cell r="B828" t="str">
            <v>N</v>
          </cell>
          <cell r="C828" t="str">
            <v>AT</v>
          </cell>
          <cell r="D828" t="str">
            <v>oe</v>
          </cell>
        </row>
        <row r="829">
          <cell r="A829" t="str">
            <v>E2C1137635</v>
          </cell>
          <cell r="B829" t="str">
            <v>H</v>
          </cell>
          <cell r="C829" t="str">
            <v>V1</v>
          </cell>
          <cell r="D829" t="str">
            <v>AI</v>
          </cell>
        </row>
        <row r="830">
          <cell r="A830" t="str">
            <v>E2C1139860</v>
          </cell>
          <cell r="B830" t="str">
            <v>N</v>
          </cell>
          <cell r="C830" t="str">
            <v>GL</v>
          </cell>
          <cell r="D830" t="str">
            <v>OE</v>
          </cell>
        </row>
        <row r="831">
          <cell r="A831" t="str">
            <v>E2C1138252</v>
          </cell>
          <cell r="B831" t="str">
            <v>F</v>
          </cell>
          <cell r="C831" t="str">
            <v>MH</v>
          </cell>
          <cell r="D831" t="str">
            <v>CHB</v>
          </cell>
        </row>
        <row r="832">
          <cell r="A832" t="str">
            <v>E2C1137713</v>
          </cell>
          <cell r="B832" t="str">
            <v>H</v>
          </cell>
          <cell r="C832" t="str">
            <v>V1</v>
          </cell>
          <cell r="D832" t="str">
            <v>AI</v>
          </cell>
        </row>
        <row r="833">
          <cell r="A833" t="str">
            <v>E2C1138826</v>
          </cell>
          <cell r="B833" t="str">
            <v>H</v>
          </cell>
          <cell r="C833" t="str">
            <v>JK</v>
          </cell>
          <cell r="D833" t="str">
            <v>AI</v>
          </cell>
        </row>
        <row r="834">
          <cell r="A834" t="str">
            <v>E2C1139839</v>
          </cell>
          <cell r="B834" t="str">
            <v>H</v>
          </cell>
          <cell r="C834" t="str">
            <v>V1</v>
          </cell>
          <cell r="D834" t="str">
            <v>AI</v>
          </cell>
        </row>
        <row r="835">
          <cell r="A835" t="str">
            <v>E2C1138113</v>
          </cell>
          <cell r="B835" t="str">
            <v>N</v>
          </cell>
          <cell r="C835" t="str">
            <v>AT</v>
          </cell>
          <cell r="D835" t="str">
            <v>oe</v>
          </cell>
        </row>
        <row r="836">
          <cell r="A836" t="str">
            <v>E2C1139460</v>
          </cell>
          <cell r="B836" t="str">
            <v>H</v>
          </cell>
          <cell r="C836" t="str">
            <v>V1</v>
          </cell>
          <cell r="D836" t="str">
            <v>AI</v>
          </cell>
        </row>
        <row r="837">
          <cell r="A837" t="str">
            <v>E2C1137786</v>
          </cell>
          <cell r="B837" t="str">
            <v>I</v>
          </cell>
          <cell r="C837" t="str">
            <v>PD</v>
          </cell>
          <cell r="D837" t="str">
            <v>CHB</v>
          </cell>
        </row>
        <row r="838">
          <cell r="A838" t="str">
            <v>E2C1139804</v>
          </cell>
          <cell r="B838" t="str">
            <v>H</v>
          </cell>
          <cell r="C838" t="str">
            <v>V1</v>
          </cell>
          <cell r="D838" t="str">
            <v>AI</v>
          </cell>
        </row>
        <row r="839">
          <cell r="A839" t="str">
            <v>E2C1138036</v>
          </cell>
          <cell r="B839" t="str">
            <v>H</v>
          </cell>
          <cell r="C839" t="str">
            <v>VJ</v>
          </cell>
          <cell r="D839" t="str">
            <v>OI</v>
          </cell>
        </row>
        <row r="840">
          <cell r="A840" t="str">
            <v>E2C1138050</v>
          </cell>
          <cell r="B840" t="str">
            <v>H</v>
          </cell>
          <cell r="C840" t="str">
            <v>VJ</v>
          </cell>
          <cell r="D840" t="str">
            <v>OI</v>
          </cell>
        </row>
        <row r="841">
          <cell r="A841" t="str">
            <v>E2C1137761</v>
          </cell>
          <cell r="B841" t="str">
            <v>H</v>
          </cell>
          <cell r="C841" t="str">
            <v>JK</v>
          </cell>
          <cell r="D841" t="str">
            <v>AI</v>
          </cell>
        </row>
        <row r="842">
          <cell r="A842" t="str">
            <v>E2C1139710</v>
          </cell>
          <cell r="B842" t="str">
            <v>N</v>
          </cell>
          <cell r="C842" t="str">
            <v>ST</v>
          </cell>
          <cell r="D842" t="str">
            <v>OM</v>
          </cell>
        </row>
        <row r="843">
          <cell r="A843" t="str">
            <v>E2C1139255</v>
          </cell>
          <cell r="B843" t="str">
            <v>H</v>
          </cell>
          <cell r="C843" t="str">
            <v>V1</v>
          </cell>
          <cell r="D843" t="str">
            <v>AI</v>
          </cell>
        </row>
        <row r="844">
          <cell r="A844" t="str">
            <v>E2C1138333</v>
          </cell>
          <cell r="B844" t="str">
            <v>I</v>
          </cell>
          <cell r="C844" t="str">
            <v>MH</v>
          </cell>
          <cell r="D844" t="str">
            <v>CHB</v>
          </cell>
        </row>
        <row r="845">
          <cell r="A845" t="str">
            <v>E2C1139697</v>
          </cell>
          <cell r="B845" t="str">
            <v>N</v>
          </cell>
          <cell r="C845" t="str">
            <v>ST</v>
          </cell>
          <cell r="D845" t="str">
            <v>OM</v>
          </cell>
        </row>
        <row r="846">
          <cell r="A846" t="str">
            <v>E2C1138750</v>
          </cell>
          <cell r="B846" t="str">
            <v>H</v>
          </cell>
          <cell r="C846" t="str">
            <v>VI</v>
          </cell>
          <cell r="D846" t="str">
            <v>OI</v>
          </cell>
        </row>
        <row r="847">
          <cell r="A847" t="str">
            <v>E2C1137883</v>
          </cell>
          <cell r="B847" t="str">
            <v>H</v>
          </cell>
          <cell r="C847" t="str">
            <v>V1</v>
          </cell>
          <cell r="D847" t="str">
            <v>AI</v>
          </cell>
        </row>
        <row r="848">
          <cell r="A848" t="str">
            <v>E2C1137889</v>
          </cell>
          <cell r="B848" t="str">
            <v>H</v>
          </cell>
          <cell r="C848" t="str">
            <v>V1</v>
          </cell>
          <cell r="D848" t="str">
            <v>AI</v>
          </cell>
        </row>
        <row r="849">
          <cell r="A849" t="str">
            <v>E2C1138347</v>
          </cell>
          <cell r="B849" t="str">
            <v>F</v>
          </cell>
          <cell r="C849" t="str">
            <v>SY</v>
          </cell>
          <cell r="D849" t="str">
            <v>CHB</v>
          </cell>
        </row>
        <row r="850">
          <cell r="A850" t="str">
            <v>E2C1139055</v>
          </cell>
          <cell r="B850" t="str">
            <v>N</v>
          </cell>
          <cell r="C850" t="str">
            <v>ST</v>
          </cell>
          <cell r="D850" t="str">
            <v>OM</v>
          </cell>
        </row>
        <row r="851">
          <cell r="A851" t="str">
            <v>E2C1138400</v>
          </cell>
          <cell r="B851" t="str">
            <v>N</v>
          </cell>
          <cell r="C851" t="str">
            <v>AT</v>
          </cell>
          <cell r="D851" t="str">
            <v>oe</v>
          </cell>
        </row>
        <row r="852">
          <cell r="A852" t="str">
            <v>E2C1137810</v>
          </cell>
          <cell r="B852" t="str">
            <v>H</v>
          </cell>
          <cell r="C852" t="str">
            <v>JK</v>
          </cell>
          <cell r="D852" t="str">
            <v>AI</v>
          </cell>
        </row>
        <row r="853">
          <cell r="A853" t="str">
            <v>E2C1139686</v>
          </cell>
          <cell r="B853" t="str">
            <v>H</v>
          </cell>
          <cell r="C853" t="str">
            <v>V1</v>
          </cell>
          <cell r="D853" t="str">
            <v>AI</v>
          </cell>
        </row>
        <row r="854">
          <cell r="A854" t="str">
            <v>E2C1138836</v>
          </cell>
          <cell r="B854" t="str">
            <v>H</v>
          </cell>
          <cell r="C854" t="str">
            <v>JK</v>
          </cell>
          <cell r="D854" t="str">
            <v>AI</v>
          </cell>
        </row>
        <row r="855">
          <cell r="A855" t="str">
            <v>E2C1139214</v>
          </cell>
          <cell r="B855" t="str">
            <v>I</v>
          </cell>
          <cell r="C855" t="str">
            <v>MH</v>
          </cell>
          <cell r="D855" t="str">
            <v>CHB</v>
          </cell>
        </row>
        <row r="856">
          <cell r="A856" t="str">
            <v>E2C1138383</v>
          </cell>
          <cell r="B856" t="str">
            <v>N</v>
          </cell>
          <cell r="C856" t="str">
            <v>GL</v>
          </cell>
          <cell r="D856" t="str">
            <v>OE</v>
          </cell>
        </row>
        <row r="857">
          <cell r="A857" t="str">
            <v>E2C1138909</v>
          </cell>
          <cell r="B857" t="str">
            <v>H</v>
          </cell>
          <cell r="C857" t="str">
            <v>VJ</v>
          </cell>
          <cell r="D857" t="str">
            <v>OI</v>
          </cell>
        </row>
        <row r="858">
          <cell r="A858" t="str">
            <v>E2C1138895</v>
          </cell>
          <cell r="B858" t="str">
            <v>H</v>
          </cell>
          <cell r="C858" t="str">
            <v>VI</v>
          </cell>
          <cell r="D858" t="str">
            <v>OI</v>
          </cell>
        </row>
        <row r="859">
          <cell r="A859" t="str">
            <v>E2C1137718</v>
          </cell>
          <cell r="B859" t="str">
            <v>H</v>
          </cell>
          <cell r="C859" t="str">
            <v>V1</v>
          </cell>
          <cell r="D859" t="str">
            <v>AI</v>
          </cell>
        </row>
        <row r="860">
          <cell r="A860" t="str">
            <v>E2C1139420</v>
          </cell>
          <cell r="B860" t="str">
            <v>I</v>
          </cell>
          <cell r="C860" t="str">
            <v>MH</v>
          </cell>
          <cell r="D860" t="str">
            <v>CHB</v>
          </cell>
        </row>
        <row r="861">
          <cell r="A861" t="str">
            <v>E2C1137841</v>
          </cell>
          <cell r="B861" t="str">
            <v>I</v>
          </cell>
          <cell r="C861" t="str">
            <v>JK</v>
          </cell>
          <cell r="D861" t="str">
            <v>AI</v>
          </cell>
        </row>
        <row r="862">
          <cell r="A862" t="str">
            <v>E2C1137671</v>
          </cell>
          <cell r="B862" t="str">
            <v>N</v>
          </cell>
          <cell r="C862" t="str">
            <v>C1</v>
          </cell>
          <cell r="D862" t="str">
            <v>OM</v>
          </cell>
        </row>
        <row r="863">
          <cell r="A863" t="str">
            <v>E2C1138057</v>
          </cell>
          <cell r="B863" t="str">
            <v>H</v>
          </cell>
          <cell r="C863" t="str">
            <v>VJ</v>
          </cell>
          <cell r="D863" t="str">
            <v>OI</v>
          </cell>
        </row>
        <row r="864">
          <cell r="A864" t="str">
            <v>E2C1137831</v>
          </cell>
          <cell r="B864" t="str">
            <v>I</v>
          </cell>
          <cell r="C864" t="str">
            <v>PD</v>
          </cell>
          <cell r="D864" t="str">
            <v>CHB</v>
          </cell>
        </row>
        <row r="865">
          <cell r="A865" t="str">
            <v>E2C1137629</v>
          </cell>
          <cell r="B865" t="str">
            <v>H</v>
          </cell>
          <cell r="C865" t="str">
            <v>V1</v>
          </cell>
          <cell r="D865" t="str">
            <v>AI</v>
          </cell>
        </row>
        <row r="866">
          <cell r="A866" t="str">
            <v>E2C1139667</v>
          </cell>
          <cell r="B866" t="str">
            <v>N</v>
          </cell>
          <cell r="C866" t="str">
            <v>AT</v>
          </cell>
          <cell r="D866" t="str">
            <v>oe</v>
          </cell>
        </row>
        <row r="867">
          <cell r="A867" t="str">
            <v>E2C1138137</v>
          </cell>
          <cell r="B867" t="str">
            <v>N</v>
          </cell>
          <cell r="C867" t="str">
            <v>AJ</v>
          </cell>
          <cell r="D867" t="str">
            <v>OE</v>
          </cell>
        </row>
        <row r="868">
          <cell r="A868" t="str">
            <v>E2C1138049</v>
          </cell>
          <cell r="B868" t="str">
            <v>H</v>
          </cell>
          <cell r="C868" t="str">
            <v>VJ</v>
          </cell>
          <cell r="D868" t="str">
            <v>OI</v>
          </cell>
        </row>
        <row r="869">
          <cell r="A869" t="str">
            <v>E2C1138092</v>
          </cell>
          <cell r="B869" t="str">
            <v>N</v>
          </cell>
          <cell r="C869" t="str">
            <v>SW</v>
          </cell>
          <cell r="D869" t="str">
            <v>OE</v>
          </cell>
        </row>
        <row r="870">
          <cell r="A870" t="str">
            <v>E2C1139363</v>
          </cell>
          <cell r="B870" t="str">
            <v>N</v>
          </cell>
          <cell r="C870" t="str">
            <v>ST</v>
          </cell>
          <cell r="D870" t="str">
            <v>OM</v>
          </cell>
        </row>
        <row r="871">
          <cell r="A871" t="str">
            <v>E2C1138633</v>
          </cell>
          <cell r="B871" t="str">
            <v>I</v>
          </cell>
          <cell r="C871" t="str">
            <v>MH</v>
          </cell>
          <cell r="D871" t="str">
            <v>CHB</v>
          </cell>
        </row>
        <row r="872">
          <cell r="A872" t="str">
            <v>E2C1138079</v>
          </cell>
          <cell r="B872" t="str">
            <v>N</v>
          </cell>
          <cell r="C872" t="str">
            <v>ST</v>
          </cell>
          <cell r="D872" t="str">
            <v>OM</v>
          </cell>
        </row>
        <row r="873">
          <cell r="A873" t="str">
            <v>E2C1139194</v>
          </cell>
          <cell r="B873" t="str">
            <v>N</v>
          </cell>
          <cell r="C873" t="str">
            <v>C1</v>
          </cell>
          <cell r="D873" t="str">
            <v>OM</v>
          </cell>
        </row>
        <row r="874">
          <cell r="A874" t="str">
            <v>E2C1139591</v>
          </cell>
          <cell r="B874" t="str">
            <v>N</v>
          </cell>
          <cell r="C874" t="str">
            <v>SS</v>
          </cell>
          <cell r="D874" t="str">
            <v>OM</v>
          </cell>
        </row>
        <row r="875">
          <cell r="A875" t="str">
            <v>E2C1138130</v>
          </cell>
          <cell r="B875" t="str">
            <v>H</v>
          </cell>
          <cell r="C875" t="str">
            <v>VJ</v>
          </cell>
          <cell r="D875" t="str">
            <v>OI</v>
          </cell>
        </row>
        <row r="876">
          <cell r="A876" t="str">
            <v>E2C1138623</v>
          </cell>
          <cell r="B876" t="str">
            <v>H</v>
          </cell>
          <cell r="C876" t="str">
            <v>JK</v>
          </cell>
          <cell r="D876" t="str">
            <v>AI</v>
          </cell>
        </row>
        <row r="877">
          <cell r="A877" t="str">
            <v>E2C1138879</v>
          </cell>
          <cell r="B877" t="str">
            <v>H</v>
          </cell>
          <cell r="C877" t="str">
            <v>JK</v>
          </cell>
          <cell r="D877" t="str">
            <v>AI</v>
          </cell>
        </row>
        <row r="878">
          <cell r="A878" t="str">
            <v>E2C1137867</v>
          </cell>
          <cell r="B878" t="str">
            <v>H</v>
          </cell>
          <cell r="C878" t="str">
            <v>CR</v>
          </cell>
          <cell r="D878" t="str">
            <v>AI</v>
          </cell>
        </row>
        <row r="879">
          <cell r="A879" t="str">
            <v>E2C1139568</v>
          </cell>
          <cell r="B879" t="str">
            <v>N</v>
          </cell>
          <cell r="C879" t="str">
            <v>AT</v>
          </cell>
          <cell r="D879" t="str">
            <v>oe</v>
          </cell>
        </row>
        <row r="880">
          <cell r="A880" t="str">
            <v>E2C1139585</v>
          </cell>
          <cell r="B880" t="str">
            <v>N</v>
          </cell>
          <cell r="C880" t="str">
            <v>AT</v>
          </cell>
          <cell r="D880" t="str">
            <v>oe</v>
          </cell>
        </row>
        <row r="881">
          <cell r="A881" t="str">
            <v>E2C1138206</v>
          </cell>
          <cell r="B881" t="str">
            <v>N</v>
          </cell>
          <cell r="C881" t="str">
            <v>C1</v>
          </cell>
          <cell r="D881" t="str">
            <v>OM</v>
          </cell>
        </row>
        <row r="882">
          <cell r="A882" t="str">
            <v>E2C1138207</v>
          </cell>
          <cell r="B882" t="str">
            <v>N</v>
          </cell>
          <cell r="C882" t="str">
            <v>C1</v>
          </cell>
          <cell r="D882" t="str">
            <v>OM</v>
          </cell>
        </row>
        <row r="883">
          <cell r="A883" t="str">
            <v>E2C1138208</v>
          </cell>
          <cell r="B883" t="str">
            <v>N</v>
          </cell>
          <cell r="C883" t="str">
            <v>C1</v>
          </cell>
          <cell r="D883" t="str">
            <v>OM</v>
          </cell>
        </row>
        <row r="884">
          <cell r="A884" t="str">
            <v>E2C1138217</v>
          </cell>
          <cell r="B884" t="str">
            <v>N</v>
          </cell>
          <cell r="C884" t="str">
            <v>C1</v>
          </cell>
          <cell r="D884" t="str">
            <v>OM</v>
          </cell>
        </row>
        <row r="885">
          <cell r="A885" t="str">
            <v>E2C1138231</v>
          </cell>
          <cell r="B885" t="str">
            <v>N</v>
          </cell>
          <cell r="C885" t="str">
            <v>C1</v>
          </cell>
          <cell r="D885" t="str">
            <v>OM</v>
          </cell>
        </row>
        <row r="886">
          <cell r="A886" t="str">
            <v>E2C1138232</v>
          </cell>
          <cell r="B886" t="str">
            <v>N</v>
          </cell>
          <cell r="C886" t="str">
            <v>C1</v>
          </cell>
          <cell r="D886" t="str">
            <v>OM</v>
          </cell>
        </row>
        <row r="887">
          <cell r="A887" t="str">
            <v>E2C1139165</v>
          </cell>
          <cell r="B887" t="str">
            <v>I</v>
          </cell>
          <cell r="C887" t="str">
            <v>MH</v>
          </cell>
          <cell r="D887" t="str">
            <v>CHB</v>
          </cell>
        </row>
        <row r="888">
          <cell r="A888" t="str">
            <v>E2C1138008</v>
          </cell>
          <cell r="B888" t="str">
            <v>H</v>
          </cell>
          <cell r="C888" t="str">
            <v>VJ</v>
          </cell>
          <cell r="D888" t="str">
            <v>OI</v>
          </cell>
        </row>
        <row r="889">
          <cell r="A889" t="str">
            <v>E2C1139896</v>
          </cell>
          <cell r="B889" t="str">
            <v>N</v>
          </cell>
          <cell r="C889" t="str">
            <v>GL</v>
          </cell>
          <cell r="D889" t="str">
            <v>OE</v>
          </cell>
        </row>
        <row r="890">
          <cell r="A890" t="str">
            <v>E2C1139466</v>
          </cell>
          <cell r="B890" t="str">
            <v>H</v>
          </cell>
          <cell r="C890" t="str">
            <v>V1</v>
          </cell>
          <cell r="D890" t="str">
            <v>AI</v>
          </cell>
        </row>
        <row r="891">
          <cell r="A891" t="str">
            <v>E2C1138887</v>
          </cell>
          <cell r="B891" t="str">
            <v>H</v>
          </cell>
          <cell r="C891" t="str">
            <v>VI</v>
          </cell>
          <cell r="D891" t="str">
            <v>OI</v>
          </cell>
        </row>
        <row r="892">
          <cell r="A892" t="str">
            <v>E2C1139690</v>
          </cell>
          <cell r="B892" t="str">
            <v>H</v>
          </cell>
          <cell r="C892" t="str">
            <v>V1</v>
          </cell>
          <cell r="D892" t="str">
            <v>AI</v>
          </cell>
        </row>
        <row r="893">
          <cell r="A893" t="str">
            <v>E2C1139275</v>
          </cell>
          <cell r="B893" t="str">
            <v>I</v>
          </cell>
          <cell r="C893" t="str">
            <v>V1</v>
          </cell>
          <cell r="D893" t="str">
            <v>AI</v>
          </cell>
        </row>
        <row r="894">
          <cell r="A894" t="str">
            <v>E2C1139887</v>
          </cell>
          <cell r="B894" t="str">
            <v>N</v>
          </cell>
          <cell r="C894" t="str">
            <v>ST</v>
          </cell>
          <cell r="D894" t="str">
            <v>OM</v>
          </cell>
        </row>
        <row r="895">
          <cell r="A895" t="str">
            <v>E2C1138878</v>
          </cell>
          <cell r="B895" t="str">
            <v>H</v>
          </cell>
          <cell r="C895" t="str">
            <v>JK</v>
          </cell>
          <cell r="D895" t="str">
            <v>AI</v>
          </cell>
        </row>
        <row r="896">
          <cell r="A896" t="str">
            <v>E2C1137812</v>
          </cell>
          <cell r="B896" t="str">
            <v>H</v>
          </cell>
          <cell r="C896" t="str">
            <v>JK</v>
          </cell>
          <cell r="D896" t="str">
            <v>AI</v>
          </cell>
        </row>
        <row r="897">
          <cell r="A897" t="str">
            <v>E2C1137690</v>
          </cell>
          <cell r="B897" t="str">
            <v>H</v>
          </cell>
          <cell r="C897" t="str">
            <v>V1</v>
          </cell>
          <cell r="D897" t="str">
            <v>AI</v>
          </cell>
        </row>
        <row r="898">
          <cell r="A898" t="str">
            <v>E2C1138351</v>
          </cell>
          <cell r="B898" t="str">
            <v>F</v>
          </cell>
          <cell r="C898" t="str">
            <v>MH</v>
          </cell>
          <cell r="D898" t="str">
            <v>CHB</v>
          </cell>
        </row>
        <row r="899">
          <cell r="A899" t="str">
            <v>E2C1138135</v>
          </cell>
          <cell r="B899" t="str">
            <v>N</v>
          </cell>
          <cell r="C899" t="str">
            <v>SS</v>
          </cell>
          <cell r="D899" t="str">
            <v>OM</v>
          </cell>
        </row>
        <row r="900">
          <cell r="A900" t="str">
            <v>E2C1137686</v>
          </cell>
          <cell r="B900" t="str">
            <v>H</v>
          </cell>
          <cell r="C900" t="str">
            <v>JK</v>
          </cell>
          <cell r="D900" t="str">
            <v>AI</v>
          </cell>
        </row>
        <row r="901">
          <cell r="A901" t="str">
            <v>E2C1138577</v>
          </cell>
          <cell r="B901" t="str">
            <v>H</v>
          </cell>
          <cell r="C901" t="str">
            <v>VJ</v>
          </cell>
          <cell r="D901" t="str">
            <v>OI</v>
          </cell>
        </row>
        <row r="902">
          <cell r="A902" t="str">
            <v>E2C1137904</v>
          </cell>
          <cell r="B902" t="str">
            <v>I</v>
          </cell>
          <cell r="C902" t="str">
            <v>JK</v>
          </cell>
          <cell r="D902" t="str">
            <v>AI</v>
          </cell>
        </row>
        <row r="903">
          <cell r="A903" t="str">
            <v>E2C1137620</v>
          </cell>
          <cell r="B903" t="str">
            <v>H</v>
          </cell>
          <cell r="C903" t="str">
            <v>V1</v>
          </cell>
          <cell r="D903" t="str">
            <v>AI</v>
          </cell>
        </row>
        <row r="904">
          <cell r="A904" t="str">
            <v>E2C1139049</v>
          </cell>
          <cell r="B904" t="str">
            <v>N</v>
          </cell>
          <cell r="C904" t="str">
            <v>AT</v>
          </cell>
          <cell r="D904" t="str">
            <v>oe</v>
          </cell>
        </row>
        <row r="905">
          <cell r="A905" t="str">
            <v>E2C1139050</v>
          </cell>
          <cell r="B905" t="str">
            <v>N</v>
          </cell>
          <cell r="C905" t="str">
            <v>AT</v>
          </cell>
          <cell r="D905" t="str">
            <v>oe</v>
          </cell>
        </row>
        <row r="906">
          <cell r="A906" t="str">
            <v>E2C1138339</v>
          </cell>
          <cell r="B906" t="str">
            <v>F</v>
          </cell>
          <cell r="C906" t="str">
            <v>SY</v>
          </cell>
          <cell r="D906" t="str">
            <v>CHB</v>
          </cell>
        </row>
        <row r="907">
          <cell r="A907" t="str">
            <v>E2C1139253</v>
          </cell>
          <cell r="B907" t="str">
            <v>I</v>
          </cell>
          <cell r="C907" t="str">
            <v>MH</v>
          </cell>
          <cell r="D907" t="str">
            <v>CHB</v>
          </cell>
        </row>
        <row r="908">
          <cell r="A908" t="str">
            <v>E2C1137606</v>
          </cell>
          <cell r="B908" t="str">
            <v>H</v>
          </cell>
          <cell r="C908" t="str">
            <v>JK</v>
          </cell>
          <cell r="D908" t="str">
            <v>AI</v>
          </cell>
        </row>
        <row r="909">
          <cell r="A909" t="str">
            <v>E2C1138101</v>
          </cell>
          <cell r="B909" t="str">
            <v>I</v>
          </cell>
          <cell r="C909" t="str">
            <v>V1</v>
          </cell>
          <cell r="D909" t="str">
            <v>AI</v>
          </cell>
        </row>
        <row r="910">
          <cell r="A910" t="str">
            <v>E2C1139836</v>
          </cell>
          <cell r="B910" t="str">
            <v>H</v>
          </cell>
          <cell r="C910" t="str">
            <v>V1</v>
          </cell>
          <cell r="D910" t="str">
            <v>AI</v>
          </cell>
        </row>
        <row r="911">
          <cell r="A911" t="str">
            <v>E2C1138566</v>
          </cell>
          <cell r="B911" t="str">
            <v>I</v>
          </cell>
          <cell r="C911" t="str">
            <v>VJ</v>
          </cell>
          <cell r="D911" t="str">
            <v>OI</v>
          </cell>
        </row>
        <row r="912">
          <cell r="A912" t="str">
            <v>E2C1137669</v>
          </cell>
          <cell r="B912" t="str">
            <v>I</v>
          </cell>
          <cell r="C912" t="str">
            <v>V1</v>
          </cell>
          <cell r="D912" t="str">
            <v>AI</v>
          </cell>
        </row>
        <row r="913">
          <cell r="A913" t="str">
            <v>E2C1138115</v>
          </cell>
          <cell r="B913" t="str">
            <v>H</v>
          </cell>
          <cell r="C913" t="str">
            <v>CR</v>
          </cell>
          <cell r="D913" t="str">
            <v>AI</v>
          </cell>
        </row>
        <row r="914">
          <cell r="A914" t="str">
            <v>E2C1139696</v>
          </cell>
          <cell r="B914" t="str">
            <v>N</v>
          </cell>
          <cell r="C914" t="str">
            <v>ST</v>
          </cell>
          <cell r="D914" t="str">
            <v>OM</v>
          </cell>
        </row>
        <row r="915">
          <cell r="A915" t="str">
            <v>E2C1139869</v>
          </cell>
          <cell r="B915" t="str">
            <v>N</v>
          </cell>
          <cell r="C915" t="str">
            <v>GL</v>
          </cell>
          <cell r="D915" t="str">
            <v>OE</v>
          </cell>
        </row>
        <row r="916">
          <cell r="A916" t="str">
            <v>E2C1138767</v>
          </cell>
          <cell r="B916" t="str">
            <v>H</v>
          </cell>
          <cell r="C916" t="str">
            <v>JK</v>
          </cell>
          <cell r="D916" t="str">
            <v>AI</v>
          </cell>
        </row>
        <row r="917">
          <cell r="A917" t="str">
            <v>E2C1139718</v>
          </cell>
          <cell r="B917" t="str">
            <v>H</v>
          </cell>
          <cell r="C917" t="str">
            <v>V1</v>
          </cell>
          <cell r="D917" t="str">
            <v>AI</v>
          </cell>
        </row>
        <row r="918">
          <cell r="A918" t="str">
            <v>E2C1139105</v>
          </cell>
          <cell r="B918" t="str">
            <v>H</v>
          </cell>
          <cell r="C918" t="str">
            <v>V1</v>
          </cell>
          <cell r="D918" t="str">
            <v>AI</v>
          </cell>
        </row>
        <row r="919">
          <cell r="A919" t="str">
            <v>E2C1138644</v>
          </cell>
          <cell r="B919" t="str">
            <v>I</v>
          </cell>
          <cell r="C919" t="str">
            <v>JK</v>
          </cell>
          <cell r="D919" t="str">
            <v>AI</v>
          </cell>
        </row>
        <row r="920">
          <cell r="A920" t="str">
            <v>E2C1139840</v>
          </cell>
          <cell r="B920" t="str">
            <v>H</v>
          </cell>
          <cell r="C920" t="str">
            <v>V1</v>
          </cell>
          <cell r="D920" t="str">
            <v>AI</v>
          </cell>
        </row>
        <row r="921">
          <cell r="A921" t="str">
            <v>E2C1137653</v>
          </cell>
          <cell r="B921" t="str">
            <v>I</v>
          </cell>
          <cell r="C921" t="str">
            <v>V1</v>
          </cell>
          <cell r="D921" t="str">
            <v>AI</v>
          </cell>
        </row>
        <row r="922">
          <cell r="A922" t="str">
            <v>E2C1138053</v>
          </cell>
          <cell r="B922" t="str">
            <v>H</v>
          </cell>
          <cell r="C922" t="str">
            <v>VJ</v>
          </cell>
          <cell r="D922" t="str">
            <v>OI</v>
          </cell>
        </row>
        <row r="923">
          <cell r="A923" t="str">
            <v>E2C1138152</v>
          </cell>
          <cell r="B923" t="str">
            <v>N</v>
          </cell>
          <cell r="C923" t="str">
            <v>AJ</v>
          </cell>
          <cell r="D923" t="str">
            <v>OE</v>
          </cell>
        </row>
        <row r="924">
          <cell r="A924" t="str">
            <v>E2C1138832</v>
          </cell>
          <cell r="B924" t="str">
            <v>N</v>
          </cell>
          <cell r="C924" t="str">
            <v>ST</v>
          </cell>
          <cell r="D924" t="str">
            <v>OM</v>
          </cell>
        </row>
        <row r="925">
          <cell r="A925" t="str">
            <v>E2C1137643</v>
          </cell>
          <cell r="B925" t="str">
            <v>I</v>
          </cell>
          <cell r="C925" t="str">
            <v>V1</v>
          </cell>
          <cell r="D925" t="str">
            <v>AI</v>
          </cell>
        </row>
        <row r="926">
          <cell r="A926" t="str">
            <v>E2C1137624</v>
          </cell>
          <cell r="B926" t="str">
            <v>H</v>
          </cell>
          <cell r="C926" t="str">
            <v>JK</v>
          </cell>
          <cell r="D926" t="str">
            <v>AI</v>
          </cell>
        </row>
        <row r="927">
          <cell r="A927" t="str">
            <v>E2C1137847</v>
          </cell>
          <cell r="B927" t="str">
            <v>H</v>
          </cell>
          <cell r="C927" t="str">
            <v>V1</v>
          </cell>
          <cell r="D927" t="str">
            <v>AI</v>
          </cell>
        </row>
        <row r="928">
          <cell r="A928" t="str">
            <v>E2C1138503</v>
          </cell>
          <cell r="B928" t="str">
            <v>H</v>
          </cell>
          <cell r="C928" t="str">
            <v>VJ</v>
          </cell>
          <cell r="D928" t="str">
            <v>OI</v>
          </cell>
        </row>
        <row r="929">
          <cell r="A929" t="str">
            <v>E2C1137596</v>
          </cell>
          <cell r="B929" t="str">
            <v>H</v>
          </cell>
          <cell r="C929" t="str">
            <v>VJ</v>
          </cell>
          <cell r="D929" t="str">
            <v>OI</v>
          </cell>
        </row>
        <row r="930">
          <cell r="A930" t="str">
            <v>E2C1138205</v>
          </cell>
          <cell r="B930" t="str">
            <v>I</v>
          </cell>
          <cell r="C930" t="str">
            <v>JK</v>
          </cell>
          <cell r="D930" t="str">
            <v>AI</v>
          </cell>
        </row>
        <row r="931">
          <cell r="A931" t="str">
            <v>E2C1139261</v>
          </cell>
          <cell r="B931" t="str">
            <v>I</v>
          </cell>
          <cell r="C931" t="str">
            <v>MH</v>
          </cell>
          <cell r="D931" t="str">
            <v>CHB</v>
          </cell>
        </row>
        <row r="932">
          <cell r="A932" t="str">
            <v>E2C1137792</v>
          </cell>
          <cell r="B932" t="str">
            <v>H</v>
          </cell>
          <cell r="C932" t="str">
            <v>JK</v>
          </cell>
          <cell r="D932" t="str">
            <v>AI</v>
          </cell>
        </row>
        <row r="933">
          <cell r="A933" t="str">
            <v>E2C1137822</v>
          </cell>
          <cell r="B933" t="str">
            <v>H</v>
          </cell>
          <cell r="C933" t="str">
            <v>JK</v>
          </cell>
          <cell r="D933" t="str">
            <v>AI</v>
          </cell>
        </row>
        <row r="934">
          <cell r="A934" t="str">
            <v>E2C1139708</v>
          </cell>
          <cell r="B934" t="str">
            <v>N</v>
          </cell>
          <cell r="C934" t="str">
            <v>ST</v>
          </cell>
          <cell r="D934" t="str">
            <v>OM</v>
          </cell>
        </row>
        <row r="935">
          <cell r="A935" t="str">
            <v>E2C1137734</v>
          </cell>
          <cell r="B935" t="str">
            <v>H</v>
          </cell>
          <cell r="C935" t="str">
            <v>JK</v>
          </cell>
          <cell r="D935" t="str">
            <v>AI</v>
          </cell>
        </row>
        <row r="936">
          <cell r="A936" t="str">
            <v>E2C1137677</v>
          </cell>
          <cell r="B936" t="str">
            <v>I</v>
          </cell>
          <cell r="C936" t="str">
            <v>V1</v>
          </cell>
          <cell r="D936" t="str">
            <v>AI</v>
          </cell>
        </row>
        <row r="937">
          <cell r="A937" t="str">
            <v>E2C1138107</v>
          </cell>
          <cell r="B937" t="str">
            <v>N</v>
          </cell>
          <cell r="C937" t="str">
            <v>AT</v>
          </cell>
          <cell r="D937" t="str">
            <v>oe</v>
          </cell>
        </row>
        <row r="938">
          <cell r="A938" t="str">
            <v>E2C1138647</v>
          </cell>
          <cell r="B938" t="str">
            <v>H</v>
          </cell>
          <cell r="C938" t="str">
            <v>JK</v>
          </cell>
          <cell r="D938" t="str">
            <v>AI</v>
          </cell>
        </row>
        <row r="939">
          <cell r="A939" t="str">
            <v>E2C1139688</v>
          </cell>
          <cell r="B939" t="str">
            <v>H</v>
          </cell>
          <cell r="C939" t="str">
            <v>V1</v>
          </cell>
          <cell r="D939" t="str">
            <v>AI</v>
          </cell>
        </row>
        <row r="940">
          <cell r="A940" t="str">
            <v>E2C1137830</v>
          </cell>
          <cell r="B940" t="str">
            <v>I</v>
          </cell>
          <cell r="C940" t="str">
            <v>JK</v>
          </cell>
          <cell r="D940" t="str">
            <v>AI</v>
          </cell>
        </row>
        <row r="941">
          <cell r="A941" t="str">
            <v>E2C1137637</v>
          </cell>
          <cell r="B941" t="str">
            <v>H</v>
          </cell>
          <cell r="C941" t="str">
            <v>V1</v>
          </cell>
          <cell r="D941" t="str">
            <v>AI</v>
          </cell>
        </row>
        <row r="942">
          <cell r="A942" t="str">
            <v>E2C1137997</v>
          </cell>
          <cell r="B942" t="str">
            <v>I</v>
          </cell>
          <cell r="C942" t="str">
            <v>JK</v>
          </cell>
          <cell r="D942" t="str">
            <v>AI</v>
          </cell>
        </row>
        <row r="943">
          <cell r="A943" t="str">
            <v>E2C1139881</v>
          </cell>
          <cell r="B943" t="str">
            <v>N</v>
          </cell>
          <cell r="C943" t="str">
            <v>ST</v>
          </cell>
          <cell r="D943" t="str">
            <v>OM</v>
          </cell>
        </row>
        <row r="944">
          <cell r="A944" t="str">
            <v>E2C1138770</v>
          </cell>
          <cell r="B944" t="str">
            <v>H</v>
          </cell>
          <cell r="C944" t="str">
            <v>JK</v>
          </cell>
          <cell r="D944" t="str">
            <v>AI</v>
          </cell>
        </row>
        <row r="945">
          <cell r="A945" t="str">
            <v>E2C1139859</v>
          </cell>
          <cell r="B945" t="str">
            <v>N</v>
          </cell>
          <cell r="C945" t="str">
            <v>GL</v>
          </cell>
          <cell r="D945" t="str">
            <v>OE</v>
          </cell>
        </row>
        <row r="946">
          <cell r="A946" t="str">
            <v>E2C1139251</v>
          </cell>
          <cell r="B946" t="str">
            <v>I</v>
          </cell>
          <cell r="C946" t="str">
            <v>V1</v>
          </cell>
          <cell r="D946" t="str">
            <v>AI</v>
          </cell>
        </row>
        <row r="947">
          <cell r="A947" t="str">
            <v>E2C1138172</v>
          </cell>
          <cell r="B947" t="str">
            <v>I</v>
          </cell>
          <cell r="C947" t="str">
            <v>VJ</v>
          </cell>
          <cell r="D947" t="str">
            <v>OI</v>
          </cell>
        </row>
        <row r="948">
          <cell r="A948" t="str">
            <v>E2C1139848</v>
          </cell>
          <cell r="B948" t="str">
            <v>N</v>
          </cell>
          <cell r="C948" t="str">
            <v>GL</v>
          </cell>
          <cell r="D948" t="str">
            <v>OE</v>
          </cell>
        </row>
        <row r="949">
          <cell r="A949" t="str">
            <v>E2C1139296</v>
          </cell>
          <cell r="B949" t="str">
            <v>H</v>
          </cell>
          <cell r="C949" t="str">
            <v>V1</v>
          </cell>
          <cell r="D949" t="str">
            <v>AI</v>
          </cell>
        </row>
        <row r="950">
          <cell r="A950" t="str">
            <v>E2C1138769</v>
          </cell>
          <cell r="B950" t="str">
            <v>H</v>
          </cell>
          <cell r="C950" t="str">
            <v>JK</v>
          </cell>
          <cell r="D950" t="str">
            <v>AI</v>
          </cell>
        </row>
        <row r="951">
          <cell r="A951" t="str">
            <v>E2C1138117</v>
          </cell>
          <cell r="B951" t="str">
            <v>I</v>
          </cell>
          <cell r="C951" t="str">
            <v>JK</v>
          </cell>
          <cell r="D951" t="str">
            <v>AI</v>
          </cell>
        </row>
        <row r="952">
          <cell r="A952" t="str">
            <v>E2C1137809</v>
          </cell>
          <cell r="B952" t="str">
            <v>H</v>
          </cell>
          <cell r="C952" t="str">
            <v>JK</v>
          </cell>
          <cell r="D952" t="str">
            <v>AI</v>
          </cell>
        </row>
        <row r="953">
          <cell r="A953" t="str">
            <v>E2C1138540</v>
          </cell>
          <cell r="B953" t="str">
            <v>I</v>
          </cell>
          <cell r="C953" t="str">
            <v>VJ</v>
          </cell>
          <cell r="D953" t="str">
            <v>OI</v>
          </cell>
        </row>
        <row r="954">
          <cell r="A954" t="str">
            <v>E2C1139567</v>
          </cell>
          <cell r="B954" t="str">
            <v>N</v>
          </cell>
          <cell r="C954" t="str">
            <v>AT</v>
          </cell>
          <cell r="D954" t="str">
            <v>oe</v>
          </cell>
        </row>
        <row r="955">
          <cell r="A955" t="str">
            <v>E2C1139471</v>
          </cell>
          <cell r="B955" t="str">
            <v>H</v>
          </cell>
          <cell r="C955" t="str">
            <v>V1</v>
          </cell>
          <cell r="D955" t="str">
            <v>AI</v>
          </cell>
        </row>
        <row r="956">
          <cell r="A956" t="str">
            <v>E2C1138871</v>
          </cell>
          <cell r="B956" t="str">
            <v>H</v>
          </cell>
          <cell r="C956" t="str">
            <v>JK</v>
          </cell>
          <cell r="D956" t="str">
            <v>AI</v>
          </cell>
        </row>
        <row r="957">
          <cell r="A957" t="str">
            <v>E2C1139122</v>
          </cell>
          <cell r="B957" t="str">
            <v>H</v>
          </cell>
          <cell r="C957" t="str">
            <v>V1</v>
          </cell>
          <cell r="D957" t="str">
            <v>AI</v>
          </cell>
        </row>
        <row r="958">
          <cell r="A958" t="str">
            <v>E2C1137639</v>
          </cell>
          <cell r="B958" t="str">
            <v>H</v>
          </cell>
          <cell r="C958" t="str">
            <v>V1</v>
          </cell>
          <cell r="D958" t="str">
            <v>AI</v>
          </cell>
        </row>
        <row r="959">
          <cell r="A959" t="str">
            <v>E2C1138572</v>
          </cell>
          <cell r="B959" t="str">
            <v>H</v>
          </cell>
          <cell r="C959" t="str">
            <v>VJ</v>
          </cell>
          <cell r="D959" t="str">
            <v>OI</v>
          </cell>
        </row>
        <row r="960">
          <cell r="A960" t="str">
            <v>E2C1138573</v>
          </cell>
          <cell r="B960" t="str">
            <v>H</v>
          </cell>
          <cell r="C960" t="str">
            <v>VJ</v>
          </cell>
          <cell r="D960" t="str">
            <v>OI</v>
          </cell>
        </row>
        <row r="961">
          <cell r="A961" t="str">
            <v>E2C1138834</v>
          </cell>
          <cell r="B961" t="str">
            <v>I</v>
          </cell>
          <cell r="C961" t="str">
            <v>MH</v>
          </cell>
          <cell r="D961" t="str">
            <v>CHB</v>
          </cell>
        </row>
        <row r="962">
          <cell r="A962" t="str">
            <v>E2C1138851</v>
          </cell>
          <cell r="B962" t="str">
            <v>N</v>
          </cell>
          <cell r="C962" t="str">
            <v>ST</v>
          </cell>
          <cell r="D962" t="str">
            <v>OM</v>
          </cell>
        </row>
        <row r="963">
          <cell r="A963" t="str">
            <v>E2C1138615</v>
          </cell>
          <cell r="B963" t="str">
            <v>H</v>
          </cell>
          <cell r="C963" t="str">
            <v>JK</v>
          </cell>
          <cell r="D963" t="str">
            <v>AI</v>
          </cell>
        </row>
        <row r="964">
          <cell r="A964" t="str">
            <v>E2C1138562</v>
          </cell>
          <cell r="B964" t="str">
            <v>H</v>
          </cell>
          <cell r="C964" t="str">
            <v>VJ</v>
          </cell>
          <cell r="D964" t="str">
            <v>OI</v>
          </cell>
        </row>
        <row r="965">
          <cell r="A965" t="str">
            <v>E2C1138040</v>
          </cell>
          <cell r="B965" t="str">
            <v>H</v>
          </cell>
          <cell r="C965" t="str">
            <v>VJ</v>
          </cell>
          <cell r="D965" t="str">
            <v>OI</v>
          </cell>
        </row>
        <row r="966">
          <cell r="A966" t="str">
            <v>E2C1138211</v>
          </cell>
          <cell r="B966" t="str">
            <v>I</v>
          </cell>
          <cell r="C966" t="str">
            <v>JK</v>
          </cell>
          <cell r="D966" t="str">
            <v>AI</v>
          </cell>
        </row>
        <row r="967">
          <cell r="A967" t="str">
            <v>E2C1137685</v>
          </cell>
          <cell r="B967" t="str">
            <v>H</v>
          </cell>
          <cell r="C967" t="str">
            <v>V1</v>
          </cell>
          <cell r="D967" t="str">
            <v>AI</v>
          </cell>
        </row>
        <row r="968">
          <cell r="A968" t="str">
            <v>E2C1138500</v>
          </cell>
          <cell r="B968" t="str">
            <v>H</v>
          </cell>
          <cell r="C968" t="str">
            <v>VJ</v>
          </cell>
          <cell r="D968" t="str">
            <v>OI</v>
          </cell>
        </row>
        <row r="969">
          <cell r="A969" t="str">
            <v>E2C1138874</v>
          </cell>
          <cell r="B969" t="str">
            <v>H</v>
          </cell>
          <cell r="C969" t="str">
            <v>CR</v>
          </cell>
          <cell r="D969" t="str">
            <v>AI</v>
          </cell>
        </row>
        <row r="970">
          <cell r="A970" t="str">
            <v>E2C1138087</v>
          </cell>
          <cell r="B970" t="str">
            <v>H</v>
          </cell>
          <cell r="C970" t="str">
            <v>JK</v>
          </cell>
          <cell r="D970" t="str">
            <v>AI</v>
          </cell>
        </row>
        <row r="971">
          <cell r="A971" t="str">
            <v>E2C1139271</v>
          </cell>
          <cell r="B971" t="str">
            <v>H</v>
          </cell>
          <cell r="C971" t="str">
            <v>V1</v>
          </cell>
          <cell r="D971" t="str">
            <v>AI</v>
          </cell>
        </row>
        <row r="972">
          <cell r="A972" t="str">
            <v>E2C1138025</v>
          </cell>
          <cell r="B972" t="str">
            <v>I</v>
          </cell>
          <cell r="C972" t="str">
            <v>V1</v>
          </cell>
          <cell r="D972" t="str">
            <v>AI</v>
          </cell>
        </row>
        <row r="973">
          <cell r="A973" t="str">
            <v>E2C1139216</v>
          </cell>
          <cell r="B973" t="str">
            <v>I</v>
          </cell>
          <cell r="C973" t="str">
            <v>MH</v>
          </cell>
          <cell r="D973" t="str">
            <v>CHB</v>
          </cell>
        </row>
        <row r="974">
          <cell r="A974" t="str">
            <v>E2C1137616</v>
          </cell>
          <cell r="B974" t="str">
            <v>H</v>
          </cell>
          <cell r="C974" t="str">
            <v>JK</v>
          </cell>
          <cell r="D974" t="str">
            <v>AI</v>
          </cell>
        </row>
        <row r="975">
          <cell r="A975" t="str">
            <v>E2C1139062</v>
          </cell>
          <cell r="B975" t="str">
            <v>N</v>
          </cell>
          <cell r="C975" t="str">
            <v>ST</v>
          </cell>
          <cell r="D975" t="str">
            <v>OM</v>
          </cell>
        </row>
        <row r="976">
          <cell r="A976" t="str">
            <v>E2C1137824</v>
          </cell>
          <cell r="B976" t="str">
            <v>I</v>
          </cell>
          <cell r="C976" t="str">
            <v>JK</v>
          </cell>
          <cell r="D976" t="str">
            <v>AI</v>
          </cell>
        </row>
        <row r="977">
          <cell r="A977" t="str">
            <v>E2C1138533</v>
          </cell>
          <cell r="B977" t="str">
            <v>I</v>
          </cell>
          <cell r="C977" t="str">
            <v>MH</v>
          </cell>
          <cell r="D977" t="str">
            <v>CHB</v>
          </cell>
        </row>
        <row r="978">
          <cell r="A978" t="str">
            <v>E2C1139295</v>
          </cell>
          <cell r="B978" t="str">
            <v>H</v>
          </cell>
          <cell r="C978" t="str">
            <v>V1</v>
          </cell>
          <cell r="D978" t="str">
            <v>AI</v>
          </cell>
        </row>
        <row r="979">
          <cell r="A979" t="str">
            <v>E2C1138530</v>
          </cell>
          <cell r="B979" t="str">
            <v>N</v>
          </cell>
          <cell r="C979" t="str">
            <v>ST</v>
          </cell>
          <cell r="D979" t="str">
            <v>OM</v>
          </cell>
        </row>
        <row r="980">
          <cell r="A980" t="str">
            <v>E2C1138538</v>
          </cell>
          <cell r="B980" t="str">
            <v>I</v>
          </cell>
          <cell r="C980" t="str">
            <v>VJ</v>
          </cell>
          <cell r="D980" t="str">
            <v>OI</v>
          </cell>
        </row>
        <row r="981">
          <cell r="A981" t="str">
            <v>E2C1139126</v>
          </cell>
          <cell r="B981" t="str">
            <v>H</v>
          </cell>
          <cell r="C981" t="str">
            <v>V1</v>
          </cell>
          <cell r="D981" t="str">
            <v>AI</v>
          </cell>
        </row>
        <row r="982">
          <cell r="A982" t="str">
            <v>E2C1138097</v>
          </cell>
          <cell r="B982" t="str">
            <v>I</v>
          </cell>
          <cell r="C982" t="str">
            <v>V1</v>
          </cell>
          <cell r="D982" t="str">
            <v>AI</v>
          </cell>
        </row>
        <row r="983">
          <cell r="A983" t="str">
            <v>E2C1138925</v>
          </cell>
          <cell r="B983" t="str">
            <v>H</v>
          </cell>
          <cell r="C983" t="str">
            <v>JK</v>
          </cell>
          <cell r="D983" t="str">
            <v>AI</v>
          </cell>
        </row>
        <row r="984">
          <cell r="A984" t="str">
            <v>E2C1138625</v>
          </cell>
          <cell r="B984" t="str">
            <v>N</v>
          </cell>
          <cell r="C984" t="str">
            <v>A1</v>
          </cell>
          <cell r="D984" t="str">
            <v>OM</v>
          </cell>
        </row>
        <row r="985">
          <cell r="A985" t="str">
            <v>E2C1138116</v>
          </cell>
          <cell r="B985" t="str">
            <v>N</v>
          </cell>
          <cell r="C985" t="str">
            <v>SS</v>
          </cell>
          <cell r="D985" t="str">
            <v>OM</v>
          </cell>
        </row>
        <row r="986">
          <cell r="A986" t="str">
            <v>E2C1139361</v>
          </cell>
          <cell r="B986" t="str">
            <v>I</v>
          </cell>
          <cell r="C986" t="str">
            <v>MH</v>
          </cell>
          <cell r="D986" t="str">
            <v>CHB</v>
          </cell>
        </row>
        <row r="987">
          <cell r="A987" t="str">
            <v>E2C1138005</v>
          </cell>
          <cell r="B987" t="str">
            <v>H</v>
          </cell>
          <cell r="C987" t="str">
            <v>JK</v>
          </cell>
          <cell r="D987" t="str">
            <v>AI</v>
          </cell>
        </row>
        <row r="988">
          <cell r="A988" t="str">
            <v>E2C1139709</v>
          </cell>
          <cell r="B988" t="str">
            <v>H</v>
          </cell>
          <cell r="C988" t="str">
            <v>V1</v>
          </cell>
          <cell r="D988" t="str">
            <v>AI</v>
          </cell>
        </row>
        <row r="989">
          <cell r="A989" t="str">
            <v>E2C1139102</v>
          </cell>
          <cell r="B989" t="str">
            <v>N</v>
          </cell>
          <cell r="C989" t="str">
            <v>ST</v>
          </cell>
          <cell r="D989" t="str">
            <v>OM</v>
          </cell>
        </row>
        <row r="990">
          <cell r="A990" t="str">
            <v>E2C1138150</v>
          </cell>
          <cell r="B990" t="str">
            <v>N</v>
          </cell>
          <cell r="C990" t="str">
            <v>AT</v>
          </cell>
          <cell r="D990" t="str">
            <v>oe</v>
          </cell>
        </row>
        <row r="991">
          <cell r="A991" t="str">
            <v>E2C1139078</v>
          </cell>
          <cell r="B991" t="str">
            <v>N</v>
          </cell>
          <cell r="C991" t="str">
            <v>ST</v>
          </cell>
          <cell r="D991" t="str">
            <v>OM</v>
          </cell>
        </row>
        <row r="992">
          <cell r="A992" t="str">
            <v>E2C1139245</v>
          </cell>
          <cell r="B992" t="str">
            <v>I</v>
          </cell>
          <cell r="C992" t="str">
            <v>V1</v>
          </cell>
          <cell r="D992" t="str">
            <v>AI</v>
          </cell>
        </row>
        <row r="993">
          <cell r="A993" t="str">
            <v>E2C1138831</v>
          </cell>
          <cell r="B993" t="str">
            <v>H</v>
          </cell>
          <cell r="C993" t="str">
            <v>JK</v>
          </cell>
          <cell r="D993" t="str">
            <v>AI</v>
          </cell>
        </row>
        <row r="994">
          <cell r="A994" t="str">
            <v>E2C1137662</v>
          </cell>
          <cell r="B994" t="str">
            <v>I</v>
          </cell>
          <cell r="C994" t="str">
            <v>V1</v>
          </cell>
          <cell r="D994" t="str">
            <v>AI</v>
          </cell>
        </row>
        <row r="995">
          <cell r="A995" t="str">
            <v>E2C1138178</v>
          </cell>
          <cell r="B995" t="str">
            <v>H</v>
          </cell>
          <cell r="C995" t="str">
            <v>VJ</v>
          </cell>
          <cell r="D995" t="str">
            <v>OI</v>
          </cell>
        </row>
        <row r="996">
          <cell r="A996" t="str">
            <v>E2C1138933</v>
          </cell>
          <cell r="B996" t="str">
            <v>N</v>
          </cell>
          <cell r="C996" t="str">
            <v>ST</v>
          </cell>
          <cell r="D996" t="str">
            <v>OM</v>
          </cell>
        </row>
        <row r="997">
          <cell r="A997" t="str">
            <v>E2C1139640</v>
          </cell>
          <cell r="B997" t="str">
            <v>N</v>
          </cell>
          <cell r="C997" t="str">
            <v>GL</v>
          </cell>
          <cell r="D997" t="str">
            <v>OE</v>
          </cell>
        </row>
        <row r="998">
          <cell r="A998" t="str">
            <v>E2C1138591</v>
          </cell>
          <cell r="B998" t="str">
            <v>N</v>
          </cell>
          <cell r="C998" t="str">
            <v>ST</v>
          </cell>
          <cell r="D998" t="str">
            <v>OM</v>
          </cell>
        </row>
        <row r="999">
          <cell r="A999" t="str">
            <v>E2C1139444</v>
          </cell>
          <cell r="B999" t="str">
            <v>H</v>
          </cell>
          <cell r="C999" t="str">
            <v>V1</v>
          </cell>
          <cell r="D999" t="str">
            <v>AI</v>
          </cell>
        </row>
        <row r="1000">
          <cell r="A1000" t="str">
            <v>E2C1137481</v>
          </cell>
          <cell r="B1000" t="str">
            <v>H</v>
          </cell>
          <cell r="C1000" t="str">
            <v>VJ</v>
          </cell>
          <cell r="D1000" t="str">
            <v>OI</v>
          </cell>
        </row>
        <row r="1001">
          <cell r="A1001" t="str">
            <v>E2C1139737</v>
          </cell>
          <cell r="B1001" t="str">
            <v>H</v>
          </cell>
          <cell r="C1001" t="str">
            <v>V1</v>
          </cell>
          <cell r="D1001" t="str">
            <v>AI</v>
          </cell>
        </row>
        <row r="1002">
          <cell r="A1002" t="str">
            <v>E2C1139291</v>
          </cell>
          <cell r="B1002" t="str">
            <v>H</v>
          </cell>
          <cell r="C1002" t="str">
            <v>V1</v>
          </cell>
          <cell r="D1002" t="str">
            <v>AI</v>
          </cell>
        </row>
        <row r="1003">
          <cell r="A1003" t="str">
            <v>E2C1138576</v>
          </cell>
          <cell r="B1003" t="str">
            <v>H</v>
          </cell>
          <cell r="C1003" t="str">
            <v>JK</v>
          </cell>
          <cell r="D1003" t="str">
            <v>AI</v>
          </cell>
        </row>
        <row r="1004">
          <cell r="A1004" t="str">
            <v>E2C1139907</v>
          </cell>
          <cell r="B1004" t="str">
            <v>N</v>
          </cell>
          <cell r="C1004" t="str">
            <v>GL</v>
          </cell>
          <cell r="D1004" t="str">
            <v>OE</v>
          </cell>
        </row>
        <row r="1005">
          <cell r="A1005" t="str">
            <v>E2C1139711</v>
          </cell>
          <cell r="B1005" t="str">
            <v>H</v>
          </cell>
          <cell r="C1005" t="str">
            <v>V1</v>
          </cell>
          <cell r="D1005" t="str">
            <v>AI</v>
          </cell>
        </row>
        <row r="1006">
          <cell r="A1006" t="str">
            <v>E2C1138487</v>
          </cell>
          <cell r="B1006" t="str">
            <v>I</v>
          </cell>
          <cell r="C1006" t="str">
            <v>VJ</v>
          </cell>
          <cell r="D1006" t="str">
            <v>OI</v>
          </cell>
        </row>
        <row r="1007">
          <cell r="A1007" t="str">
            <v>E2C1138713</v>
          </cell>
          <cell r="B1007" t="str">
            <v>N</v>
          </cell>
          <cell r="C1007" t="str">
            <v>CR</v>
          </cell>
          <cell r="D1007" t="str">
            <v>AI</v>
          </cell>
        </row>
        <row r="1008">
          <cell r="A1008" t="str">
            <v>E2C1138829</v>
          </cell>
          <cell r="B1008" t="str">
            <v>I</v>
          </cell>
          <cell r="C1008" t="str">
            <v>MH</v>
          </cell>
          <cell r="D1008" t="str">
            <v>CHB</v>
          </cell>
        </row>
        <row r="1009">
          <cell r="A1009" t="str">
            <v>E2C1139837</v>
          </cell>
          <cell r="B1009" t="str">
            <v>H</v>
          </cell>
          <cell r="C1009" t="str">
            <v>V1</v>
          </cell>
          <cell r="D1009" t="str">
            <v>AI</v>
          </cell>
        </row>
        <row r="1010">
          <cell r="A1010" t="str">
            <v>E2C1138167</v>
          </cell>
          <cell r="B1010" t="str">
            <v>N</v>
          </cell>
          <cell r="C1010" t="str">
            <v>AT</v>
          </cell>
          <cell r="D1010" t="str">
            <v>oe</v>
          </cell>
        </row>
        <row r="1011">
          <cell r="A1011" t="str">
            <v>E2C1139252</v>
          </cell>
          <cell r="B1011" t="str">
            <v>H</v>
          </cell>
          <cell r="C1011" t="str">
            <v>V1</v>
          </cell>
          <cell r="D1011" t="str">
            <v>AI</v>
          </cell>
        </row>
        <row r="1012">
          <cell r="A1012" t="str">
            <v>E2C1138893</v>
          </cell>
          <cell r="B1012" t="str">
            <v>H</v>
          </cell>
          <cell r="C1012" t="str">
            <v>VJ</v>
          </cell>
          <cell r="D1012" t="str">
            <v>OI</v>
          </cell>
        </row>
        <row r="1013">
          <cell r="A1013" t="str">
            <v>E2C1137696</v>
          </cell>
          <cell r="B1013" t="str">
            <v>H</v>
          </cell>
          <cell r="C1013" t="str">
            <v>V1</v>
          </cell>
          <cell r="D1013" t="str">
            <v>AI</v>
          </cell>
        </row>
        <row r="1014">
          <cell r="A1014" t="str">
            <v>E2C1139874</v>
          </cell>
          <cell r="B1014" t="str">
            <v>N</v>
          </cell>
          <cell r="C1014" t="str">
            <v>GL</v>
          </cell>
          <cell r="D1014" t="str">
            <v>OE</v>
          </cell>
        </row>
        <row r="1015">
          <cell r="A1015" t="str">
            <v>E2C1137871</v>
          </cell>
          <cell r="B1015" t="str">
            <v>H</v>
          </cell>
          <cell r="C1015" t="str">
            <v>CR</v>
          </cell>
          <cell r="D1015" t="str">
            <v>AI</v>
          </cell>
        </row>
        <row r="1016">
          <cell r="A1016" t="str">
            <v>E2C1139581</v>
          </cell>
          <cell r="B1016" t="str">
            <v>N</v>
          </cell>
          <cell r="C1016" t="str">
            <v>AT</v>
          </cell>
          <cell r="D1016" t="str">
            <v>oe</v>
          </cell>
        </row>
        <row r="1017">
          <cell r="A1017" t="str">
            <v>E2C1138529</v>
          </cell>
          <cell r="B1017" t="str">
            <v>N</v>
          </cell>
          <cell r="C1017" t="str">
            <v>ST</v>
          </cell>
          <cell r="D1017" t="str">
            <v>OM</v>
          </cell>
        </row>
        <row r="1018">
          <cell r="A1018" t="str">
            <v>E2C1138084</v>
          </cell>
          <cell r="B1018" t="str">
            <v>N</v>
          </cell>
          <cell r="C1018" t="str">
            <v>AT</v>
          </cell>
          <cell r="D1018" t="str">
            <v>oe</v>
          </cell>
        </row>
        <row r="1019">
          <cell r="A1019" t="str">
            <v>E2C1139453</v>
          </cell>
          <cell r="B1019" t="str">
            <v>I</v>
          </cell>
          <cell r="C1019" t="str">
            <v>PD</v>
          </cell>
          <cell r="D1019" t="str">
            <v>CHB</v>
          </cell>
        </row>
        <row r="1020">
          <cell r="A1020" t="str">
            <v>E2C1139672</v>
          </cell>
          <cell r="B1020" t="str">
            <v>N</v>
          </cell>
          <cell r="C1020" t="str">
            <v>AT</v>
          </cell>
          <cell r="D1020" t="str">
            <v>oe</v>
          </cell>
        </row>
        <row r="1021">
          <cell r="A1021" t="str">
            <v>E2C1138863</v>
          </cell>
          <cell r="B1021" t="str">
            <v>N</v>
          </cell>
          <cell r="C1021" t="str">
            <v>ST</v>
          </cell>
          <cell r="D1021" t="str">
            <v>OM</v>
          </cell>
        </row>
        <row r="1022">
          <cell r="A1022" t="str">
            <v>E2C1138081</v>
          </cell>
          <cell r="B1022" t="str">
            <v>H</v>
          </cell>
          <cell r="C1022" t="str">
            <v>V1</v>
          </cell>
          <cell r="D1022" t="str">
            <v>AI</v>
          </cell>
        </row>
        <row r="1023">
          <cell r="A1023" t="str">
            <v>E2C1138239</v>
          </cell>
          <cell r="B1023" t="str">
            <v>H</v>
          </cell>
          <cell r="C1023" t="str">
            <v>JK</v>
          </cell>
          <cell r="D1023" t="str">
            <v>AI</v>
          </cell>
        </row>
        <row r="1024">
          <cell r="A1024" t="str">
            <v>E2C1138411</v>
          </cell>
          <cell r="B1024" t="str">
            <v>I</v>
          </cell>
          <cell r="C1024" t="str">
            <v>PD</v>
          </cell>
          <cell r="D1024" t="str">
            <v>CHB</v>
          </cell>
        </row>
        <row r="1025">
          <cell r="A1025" t="str">
            <v>E2C1138412</v>
          </cell>
          <cell r="B1025" t="str">
            <v>I</v>
          </cell>
          <cell r="C1025" t="str">
            <v>PD</v>
          </cell>
          <cell r="D1025" t="str">
            <v>CHB</v>
          </cell>
        </row>
        <row r="1026">
          <cell r="A1026" t="str">
            <v>E2C1138295</v>
          </cell>
          <cell r="B1026" t="str">
            <v>I</v>
          </cell>
          <cell r="C1026" t="str">
            <v>VJ</v>
          </cell>
          <cell r="D1026" t="str">
            <v>OI</v>
          </cell>
        </row>
        <row r="1027">
          <cell r="A1027" t="str">
            <v>E2C1137825</v>
          </cell>
          <cell r="B1027" t="str">
            <v>H</v>
          </cell>
          <cell r="C1027" t="str">
            <v>V1</v>
          </cell>
          <cell r="D1027" t="str">
            <v>AI</v>
          </cell>
        </row>
        <row r="1028">
          <cell r="A1028" t="str">
            <v>E2C1139373</v>
          </cell>
          <cell r="B1028" t="str">
            <v>N</v>
          </cell>
          <cell r="C1028" t="str">
            <v>ST</v>
          </cell>
          <cell r="D1028" t="str">
            <v>OM</v>
          </cell>
        </row>
        <row r="1029">
          <cell r="A1029" t="str">
            <v>E2C1138928</v>
          </cell>
          <cell r="B1029" t="str">
            <v>H</v>
          </cell>
          <cell r="C1029" t="str">
            <v>VJ</v>
          </cell>
          <cell r="D1029" t="str">
            <v>OI</v>
          </cell>
        </row>
        <row r="1030">
          <cell r="A1030" t="str">
            <v>E2C1139272</v>
          </cell>
          <cell r="B1030" t="str">
            <v>H</v>
          </cell>
          <cell r="C1030" t="str">
            <v>V1</v>
          </cell>
          <cell r="D1030" t="str">
            <v>AI</v>
          </cell>
        </row>
        <row r="1031">
          <cell r="A1031" t="str">
            <v>E2C1138835</v>
          </cell>
          <cell r="B1031" t="str">
            <v>H</v>
          </cell>
          <cell r="C1031" t="str">
            <v>JK</v>
          </cell>
          <cell r="D1031" t="str">
            <v>AI</v>
          </cell>
        </row>
        <row r="1032">
          <cell r="A1032" t="str">
            <v>E2C1138095</v>
          </cell>
          <cell r="B1032" t="str">
            <v>N</v>
          </cell>
          <cell r="C1032" t="str">
            <v>AT</v>
          </cell>
          <cell r="D1032" t="str">
            <v>oe</v>
          </cell>
        </row>
        <row r="1033">
          <cell r="A1033" t="str">
            <v>E2C1139103</v>
          </cell>
          <cell r="B1033" t="str">
            <v>H</v>
          </cell>
          <cell r="C1033" t="str">
            <v>V1</v>
          </cell>
          <cell r="D1033" t="str">
            <v>AI</v>
          </cell>
        </row>
        <row r="1034">
          <cell r="A1034" t="str">
            <v>E2C1138502</v>
          </cell>
          <cell r="B1034" t="str">
            <v>H</v>
          </cell>
          <cell r="C1034" t="str">
            <v>VJ</v>
          </cell>
          <cell r="D1034" t="str">
            <v>OI</v>
          </cell>
        </row>
        <row r="1035">
          <cell r="A1035" t="str">
            <v>E2C1139730</v>
          </cell>
          <cell r="B1035" t="str">
            <v>H</v>
          </cell>
          <cell r="C1035" t="str">
            <v>V1</v>
          </cell>
          <cell r="D1035" t="str">
            <v>AI</v>
          </cell>
        </row>
        <row r="1036">
          <cell r="A1036" t="str">
            <v>E2C1138303</v>
          </cell>
          <cell r="B1036" t="str">
            <v>I</v>
          </cell>
          <cell r="C1036" t="str">
            <v>VJ</v>
          </cell>
          <cell r="D1036" t="str">
            <v>OI</v>
          </cell>
        </row>
        <row r="1037">
          <cell r="A1037" t="str">
            <v>E2C1137763</v>
          </cell>
          <cell r="B1037" t="str">
            <v>H</v>
          </cell>
          <cell r="C1037" t="str">
            <v>V1</v>
          </cell>
          <cell r="D1037" t="str">
            <v>AI</v>
          </cell>
        </row>
        <row r="1038">
          <cell r="A1038" t="str">
            <v>E2C1138528</v>
          </cell>
          <cell r="B1038" t="str">
            <v>N</v>
          </cell>
          <cell r="C1038" t="str">
            <v>ST</v>
          </cell>
          <cell r="D1038" t="str">
            <v>OM</v>
          </cell>
        </row>
        <row r="1039">
          <cell r="A1039" t="str">
            <v>E2C1139323</v>
          </cell>
          <cell r="B1039" t="str">
            <v>H</v>
          </cell>
          <cell r="C1039" t="str">
            <v>V1</v>
          </cell>
          <cell r="D1039" t="str">
            <v>AI</v>
          </cell>
        </row>
        <row r="1040">
          <cell r="A1040" t="str">
            <v>E2C1138760</v>
          </cell>
          <cell r="B1040" t="str">
            <v>H</v>
          </cell>
          <cell r="C1040" t="str">
            <v>VI</v>
          </cell>
          <cell r="D1040" t="str">
            <v>OI</v>
          </cell>
        </row>
        <row r="1041">
          <cell r="A1041" t="str">
            <v>E2C1137741</v>
          </cell>
          <cell r="B1041" t="str">
            <v>I</v>
          </cell>
          <cell r="C1041" t="str">
            <v>JK</v>
          </cell>
          <cell r="D1041" t="str">
            <v>AI</v>
          </cell>
        </row>
        <row r="1042">
          <cell r="A1042" t="str">
            <v>E2C1138849</v>
          </cell>
          <cell r="B1042" t="str">
            <v>I</v>
          </cell>
          <cell r="C1042" t="str">
            <v>VI</v>
          </cell>
          <cell r="D1042" t="str">
            <v>OI</v>
          </cell>
        </row>
        <row r="1043">
          <cell r="A1043" t="str">
            <v>E2C1138595</v>
          </cell>
          <cell r="B1043" t="str">
            <v>N</v>
          </cell>
          <cell r="C1043" t="str">
            <v>ST</v>
          </cell>
          <cell r="D1043" t="str">
            <v>OM</v>
          </cell>
        </row>
        <row r="1044">
          <cell r="A1044" t="str">
            <v>E2C1137811</v>
          </cell>
          <cell r="B1044" t="str">
            <v>I</v>
          </cell>
          <cell r="C1044" t="str">
            <v>VJ</v>
          </cell>
          <cell r="D1044" t="str">
            <v>OI</v>
          </cell>
        </row>
        <row r="1045">
          <cell r="A1045" t="str">
            <v>E2C1137862</v>
          </cell>
          <cell r="B1045" t="str">
            <v>H</v>
          </cell>
          <cell r="C1045" t="str">
            <v>CR</v>
          </cell>
          <cell r="D1045" t="str">
            <v>AI</v>
          </cell>
        </row>
        <row r="1046">
          <cell r="A1046" t="str">
            <v>E2C1138253</v>
          </cell>
          <cell r="B1046" t="str">
            <v>H</v>
          </cell>
          <cell r="C1046" t="str">
            <v>V2</v>
          </cell>
          <cell r="D1046" t="str">
            <v>OI</v>
          </cell>
        </row>
        <row r="1047">
          <cell r="A1047" t="str">
            <v>E2C1138825</v>
          </cell>
          <cell r="B1047" t="str">
            <v>H</v>
          </cell>
          <cell r="C1047" t="str">
            <v>JK</v>
          </cell>
          <cell r="D1047" t="str">
            <v>AI</v>
          </cell>
        </row>
        <row r="1048">
          <cell r="A1048" t="str">
            <v>E2C1139636</v>
          </cell>
          <cell r="B1048" t="str">
            <v>N</v>
          </cell>
          <cell r="C1048" t="str">
            <v>AJ</v>
          </cell>
          <cell r="D1048" t="str">
            <v>OE</v>
          </cell>
        </row>
        <row r="1049">
          <cell r="A1049" t="str">
            <v>E2C1138666</v>
          </cell>
          <cell r="B1049" t="str">
            <v>I</v>
          </cell>
          <cell r="C1049" t="str">
            <v>JK</v>
          </cell>
          <cell r="D1049" t="str">
            <v>AI</v>
          </cell>
        </row>
        <row r="1050">
          <cell r="A1050" t="str">
            <v>E2C1137640</v>
          </cell>
          <cell r="B1050" t="str">
            <v>H</v>
          </cell>
          <cell r="C1050" t="str">
            <v>JK</v>
          </cell>
          <cell r="D1050" t="str">
            <v>AI</v>
          </cell>
        </row>
        <row r="1051">
          <cell r="A1051" t="str">
            <v>E2C1139121</v>
          </cell>
          <cell r="B1051" t="str">
            <v>H</v>
          </cell>
          <cell r="C1051" t="str">
            <v>V1</v>
          </cell>
          <cell r="D1051" t="str">
            <v>AI</v>
          </cell>
        </row>
        <row r="1052">
          <cell r="A1052" t="str">
            <v>E2C1138537</v>
          </cell>
          <cell r="B1052" t="str">
            <v>H</v>
          </cell>
          <cell r="C1052" t="str">
            <v>VJ</v>
          </cell>
          <cell r="D1052" t="str">
            <v>OI</v>
          </cell>
        </row>
        <row r="1053">
          <cell r="A1053" t="str">
            <v>E2C1138830</v>
          </cell>
          <cell r="B1053" t="str">
            <v>I</v>
          </cell>
          <cell r="C1053" t="str">
            <v>VI</v>
          </cell>
          <cell r="D1053" t="str">
            <v>OI</v>
          </cell>
        </row>
        <row r="1054">
          <cell r="A1054" t="str">
            <v>E2C1138074</v>
          </cell>
          <cell r="B1054" t="str">
            <v>H</v>
          </cell>
          <cell r="C1054" t="str">
            <v>V1</v>
          </cell>
          <cell r="D1054" t="str">
            <v>AI</v>
          </cell>
        </row>
        <row r="1055">
          <cell r="A1055" t="str">
            <v>E2C1138105</v>
          </cell>
          <cell r="B1055" t="str">
            <v>H</v>
          </cell>
          <cell r="C1055" t="str">
            <v>V1</v>
          </cell>
          <cell r="D1055" t="str">
            <v>AI</v>
          </cell>
        </row>
        <row r="1056">
          <cell r="A1056" t="str">
            <v>E2C1139884</v>
          </cell>
          <cell r="B1056" t="str">
            <v>N</v>
          </cell>
          <cell r="C1056" t="str">
            <v>SW</v>
          </cell>
          <cell r="D1056" t="str">
            <v>OE</v>
          </cell>
        </row>
        <row r="1057">
          <cell r="A1057" t="str">
            <v>E2C1137764</v>
          </cell>
          <cell r="B1057" t="str">
            <v>I</v>
          </cell>
          <cell r="C1057" t="str">
            <v>VJ</v>
          </cell>
          <cell r="D1057" t="str">
            <v>OI</v>
          </cell>
        </row>
        <row r="1058">
          <cell r="A1058" t="str">
            <v>E2C1138876</v>
          </cell>
          <cell r="B1058" t="str">
            <v>H</v>
          </cell>
          <cell r="C1058" t="str">
            <v>CR</v>
          </cell>
          <cell r="D1058" t="str">
            <v>AI</v>
          </cell>
        </row>
        <row r="1059">
          <cell r="A1059" t="str">
            <v>E2C1138261</v>
          </cell>
          <cell r="B1059" t="str">
            <v>H</v>
          </cell>
          <cell r="C1059" t="str">
            <v>VI</v>
          </cell>
          <cell r="D1059" t="str">
            <v>OI</v>
          </cell>
        </row>
        <row r="1060">
          <cell r="A1060" t="str">
            <v>E2C1138139</v>
          </cell>
          <cell r="B1060" t="str">
            <v>N</v>
          </cell>
          <cell r="C1060" t="str">
            <v>SS</v>
          </cell>
          <cell r="D1060" t="str">
            <v>OM</v>
          </cell>
        </row>
        <row r="1061">
          <cell r="A1061" t="str">
            <v>E2C1139128</v>
          </cell>
          <cell r="B1061" t="str">
            <v>H</v>
          </cell>
          <cell r="C1061" t="str">
            <v>V1</v>
          </cell>
          <cell r="D1061" t="str">
            <v>AI</v>
          </cell>
        </row>
        <row r="1062">
          <cell r="A1062" t="str">
            <v>E2C1137992</v>
          </cell>
          <cell r="B1062" t="str">
            <v>H</v>
          </cell>
          <cell r="C1062" t="str">
            <v>VJ</v>
          </cell>
          <cell r="D1062" t="str">
            <v>OI</v>
          </cell>
        </row>
        <row r="1063">
          <cell r="A1063" t="str">
            <v>E2C1137975</v>
          </cell>
          <cell r="B1063" t="str">
            <v>I</v>
          </cell>
          <cell r="C1063" t="str">
            <v>VJ</v>
          </cell>
          <cell r="D1063" t="str">
            <v>OI</v>
          </cell>
        </row>
        <row r="1064">
          <cell r="A1064" t="str">
            <v>E2C1138621</v>
          </cell>
          <cell r="B1064" t="str">
            <v>H</v>
          </cell>
          <cell r="C1064" t="str">
            <v>JK</v>
          </cell>
          <cell r="D1064" t="str">
            <v>AI</v>
          </cell>
        </row>
        <row r="1065">
          <cell r="A1065" t="str">
            <v>E2C1139502</v>
          </cell>
          <cell r="B1065" t="str">
            <v>N</v>
          </cell>
          <cell r="C1065" t="str">
            <v>GL</v>
          </cell>
          <cell r="D1065" t="str">
            <v>OE</v>
          </cell>
        </row>
        <row r="1066">
          <cell r="A1066" t="str">
            <v>E2C1137881</v>
          </cell>
          <cell r="B1066" t="str">
            <v>H</v>
          </cell>
          <cell r="C1066" t="str">
            <v>V1</v>
          </cell>
          <cell r="D1066" t="str">
            <v>AI</v>
          </cell>
        </row>
        <row r="1067">
          <cell r="A1067" t="str">
            <v>E2C1137477</v>
          </cell>
          <cell r="B1067" t="str">
            <v>I</v>
          </cell>
          <cell r="C1067" t="str">
            <v>VJ</v>
          </cell>
          <cell r="D1067" t="str">
            <v>OI</v>
          </cell>
        </row>
        <row r="1068">
          <cell r="A1068" t="str">
            <v>E2C1139316</v>
          </cell>
          <cell r="B1068" t="str">
            <v>H</v>
          </cell>
          <cell r="C1068" t="str">
            <v>VI</v>
          </cell>
          <cell r="D1068" t="str">
            <v>OI</v>
          </cell>
        </row>
        <row r="1069">
          <cell r="A1069" t="str">
            <v>E2C1138852</v>
          </cell>
          <cell r="B1069" t="str">
            <v>H</v>
          </cell>
          <cell r="C1069" t="str">
            <v>JK</v>
          </cell>
          <cell r="D1069" t="str">
            <v>AI</v>
          </cell>
        </row>
        <row r="1070">
          <cell r="A1070" t="str">
            <v>E2C1139345</v>
          </cell>
          <cell r="B1070" t="str">
            <v>N</v>
          </cell>
          <cell r="C1070" t="str">
            <v>AT</v>
          </cell>
          <cell r="D1070" t="str">
            <v>oe</v>
          </cell>
        </row>
        <row r="1071">
          <cell r="A1071" t="str">
            <v>E2C1138126</v>
          </cell>
          <cell r="B1071" t="str">
            <v>I</v>
          </cell>
          <cell r="C1071" t="str">
            <v>V1</v>
          </cell>
          <cell r="D1071" t="str">
            <v>AI</v>
          </cell>
        </row>
        <row r="1072">
          <cell r="A1072" t="str">
            <v>E2C1139601</v>
          </cell>
          <cell r="B1072" t="str">
            <v>N</v>
          </cell>
          <cell r="C1072" t="str">
            <v>GL</v>
          </cell>
          <cell r="D1072" t="str">
            <v>OE</v>
          </cell>
        </row>
        <row r="1073">
          <cell r="A1073" t="str">
            <v>E2C1139604</v>
          </cell>
          <cell r="B1073" t="str">
            <v>N</v>
          </cell>
          <cell r="C1073" t="str">
            <v>GL</v>
          </cell>
          <cell r="D1073" t="str">
            <v>OE</v>
          </cell>
        </row>
        <row r="1074">
          <cell r="A1074" t="str">
            <v>E2C1139606</v>
          </cell>
          <cell r="B1074" t="str">
            <v>N</v>
          </cell>
          <cell r="C1074" t="str">
            <v>GL</v>
          </cell>
          <cell r="D1074" t="str">
            <v>OE</v>
          </cell>
        </row>
        <row r="1075">
          <cell r="A1075" t="str">
            <v>E2C1138828</v>
          </cell>
          <cell r="B1075" t="str">
            <v>N</v>
          </cell>
          <cell r="C1075" t="str">
            <v>ST</v>
          </cell>
          <cell r="D1075" t="str">
            <v>OM</v>
          </cell>
        </row>
        <row r="1076">
          <cell r="A1076" t="str">
            <v>E2C1139140</v>
          </cell>
          <cell r="B1076" t="str">
            <v>N</v>
          </cell>
          <cell r="C1076" t="str">
            <v>C1</v>
          </cell>
          <cell r="D1076" t="str">
            <v>OM</v>
          </cell>
        </row>
        <row r="1077">
          <cell r="A1077" t="str">
            <v>E2C1137815</v>
          </cell>
          <cell r="B1077" t="str">
            <v>H</v>
          </cell>
          <cell r="C1077" t="str">
            <v>JK</v>
          </cell>
          <cell r="D1077" t="str">
            <v>AI</v>
          </cell>
        </row>
        <row r="1078">
          <cell r="A1078" t="str">
            <v>E2C1139492</v>
          </cell>
          <cell r="B1078" t="str">
            <v>H</v>
          </cell>
          <cell r="C1078" t="str">
            <v>V1</v>
          </cell>
          <cell r="D1078" t="str">
            <v>AI</v>
          </cell>
        </row>
        <row r="1079">
          <cell r="A1079" t="str">
            <v>E2C1138177</v>
          </cell>
          <cell r="B1079" t="str">
            <v>H</v>
          </cell>
          <cell r="C1079" t="str">
            <v>VJ</v>
          </cell>
          <cell r="D1079" t="str">
            <v>OI</v>
          </cell>
        </row>
        <row r="1080">
          <cell r="A1080" t="str">
            <v>E2C1137707</v>
          </cell>
          <cell r="B1080" t="str">
            <v>H</v>
          </cell>
          <cell r="C1080" t="str">
            <v>V1</v>
          </cell>
          <cell r="D1080" t="str">
            <v>AI</v>
          </cell>
        </row>
        <row r="1081">
          <cell r="A1081" t="str">
            <v>E2C1139489</v>
          </cell>
          <cell r="B1081" t="str">
            <v>N</v>
          </cell>
          <cell r="C1081" t="str">
            <v>AJ</v>
          </cell>
          <cell r="D1081" t="str">
            <v>OE</v>
          </cell>
        </row>
        <row r="1082">
          <cell r="A1082" t="str">
            <v>E2C1138819</v>
          </cell>
          <cell r="B1082" t="str">
            <v>H</v>
          </cell>
          <cell r="C1082" t="str">
            <v>VI</v>
          </cell>
          <cell r="D1082" t="str">
            <v>OI</v>
          </cell>
        </row>
        <row r="1083">
          <cell r="A1083" t="str">
            <v>E2C1138089</v>
          </cell>
          <cell r="B1083" t="str">
            <v>H</v>
          </cell>
          <cell r="C1083" t="str">
            <v>V1</v>
          </cell>
          <cell r="D1083" t="str">
            <v>AI</v>
          </cell>
        </row>
        <row r="1084">
          <cell r="A1084" t="str">
            <v>E2C1138305</v>
          </cell>
          <cell r="B1084" t="str">
            <v>H</v>
          </cell>
          <cell r="C1084" t="str">
            <v>JK</v>
          </cell>
          <cell r="D1084" t="str">
            <v>AI</v>
          </cell>
        </row>
        <row r="1085">
          <cell r="A1085" t="str">
            <v>E2C1137885</v>
          </cell>
          <cell r="B1085" t="str">
            <v>H</v>
          </cell>
          <cell r="C1085" t="str">
            <v>V1</v>
          </cell>
          <cell r="D1085" t="str">
            <v>AI</v>
          </cell>
        </row>
        <row r="1086">
          <cell r="A1086" t="str">
            <v>E2C1139682</v>
          </cell>
          <cell r="B1086" t="str">
            <v>H</v>
          </cell>
          <cell r="C1086" t="str">
            <v>V1</v>
          </cell>
          <cell r="D1086" t="str">
            <v>AI</v>
          </cell>
        </row>
        <row r="1087">
          <cell r="A1087" t="str">
            <v>E2C1139286</v>
          </cell>
          <cell r="B1087" t="str">
            <v>H</v>
          </cell>
          <cell r="C1087" t="str">
            <v>V1</v>
          </cell>
          <cell r="D1087" t="str">
            <v>AI</v>
          </cell>
        </row>
        <row r="1088">
          <cell r="A1088" t="str">
            <v>E2C1139152</v>
          </cell>
          <cell r="B1088" t="str">
            <v>H</v>
          </cell>
          <cell r="C1088" t="str">
            <v>VI</v>
          </cell>
          <cell r="D1088" t="str">
            <v>OI</v>
          </cell>
        </row>
        <row r="1089">
          <cell r="A1089" t="str">
            <v>E2C1139299</v>
          </cell>
          <cell r="B1089" t="str">
            <v>H</v>
          </cell>
          <cell r="C1089" t="str">
            <v>V1</v>
          </cell>
          <cell r="D1089" t="str">
            <v>AI</v>
          </cell>
        </row>
        <row r="1090">
          <cell r="A1090" t="str">
            <v>E2C1138319</v>
          </cell>
          <cell r="B1090" t="str">
            <v>H</v>
          </cell>
          <cell r="C1090" t="str">
            <v>V1</v>
          </cell>
          <cell r="D1090" t="str">
            <v>AI</v>
          </cell>
        </row>
        <row r="1091">
          <cell r="A1091" t="str">
            <v>E2C1138719</v>
          </cell>
          <cell r="B1091" t="str">
            <v>N</v>
          </cell>
          <cell r="C1091" t="str">
            <v>CR</v>
          </cell>
          <cell r="D1091" t="str">
            <v>AI</v>
          </cell>
        </row>
        <row r="1092">
          <cell r="A1092" t="str">
            <v>E2C1138298</v>
          </cell>
          <cell r="B1092" t="str">
            <v>H</v>
          </cell>
          <cell r="C1092" t="str">
            <v>VJ</v>
          </cell>
          <cell r="D1092" t="str">
            <v>OI</v>
          </cell>
        </row>
        <row r="1093">
          <cell r="A1093" t="str">
            <v>E2C1137891</v>
          </cell>
          <cell r="B1093" t="str">
            <v>H</v>
          </cell>
          <cell r="C1093" t="str">
            <v>JK</v>
          </cell>
          <cell r="D1093" t="str">
            <v>AI</v>
          </cell>
        </row>
        <row r="1094">
          <cell r="A1094" t="str">
            <v>E2C1137492</v>
          </cell>
          <cell r="B1094" t="str">
            <v>H</v>
          </cell>
          <cell r="C1094" t="str">
            <v>VJ</v>
          </cell>
          <cell r="D1094" t="str">
            <v>OI</v>
          </cell>
        </row>
        <row r="1095">
          <cell r="A1095" t="str">
            <v>E2C1138766</v>
          </cell>
          <cell r="B1095" t="str">
            <v>H</v>
          </cell>
          <cell r="C1095" t="str">
            <v>JK</v>
          </cell>
          <cell r="D1095" t="str">
            <v>AI</v>
          </cell>
        </row>
        <row r="1096">
          <cell r="A1096" t="str">
            <v>E2C1137821</v>
          </cell>
          <cell r="B1096" t="str">
            <v>H</v>
          </cell>
          <cell r="C1096" t="str">
            <v>VJ</v>
          </cell>
          <cell r="D1096" t="str">
            <v>OI</v>
          </cell>
        </row>
        <row r="1097">
          <cell r="A1097" t="str">
            <v>E2C1139717</v>
          </cell>
          <cell r="B1097" t="str">
            <v>H</v>
          </cell>
          <cell r="C1097" t="str">
            <v>V1</v>
          </cell>
          <cell r="D1097" t="str">
            <v>AI</v>
          </cell>
        </row>
        <row r="1098">
          <cell r="A1098" t="str">
            <v>E2C1138204</v>
          </cell>
          <cell r="B1098" t="str">
            <v>I</v>
          </cell>
          <cell r="C1098" t="str">
            <v>JK</v>
          </cell>
          <cell r="D1098" t="str">
            <v>AI</v>
          </cell>
        </row>
        <row r="1099">
          <cell r="A1099" t="str">
            <v>E2C1138833</v>
          </cell>
          <cell r="B1099" t="str">
            <v>H</v>
          </cell>
          <cell r="C1099" t="str">
            <v>JK</v>
          </cell>
          <cell r="D1099" t="str">
            <v>AI</v>
          </cell>
        </row>
        <row r="1100">
          <cell r="A1100" t="str">
            <v>E2C1138801</v>
          </cell>
          <cell r="B1100" t="str">
            <v>H</v>
          </cell>
          <cell r="C1100" t="str">
            <v>CR</v>
          </cell>
          <cell r="D1100" t="str">
            <v>AI</v>
          </cell>
        </row>
        <row r="1101">
          <cell r="A1101" t="str">
            <v>E2C1139910</v>
          </cell>
          <cell r="B1101" t="str">
            <v>N</v>
          </cell>
          <cell r="C1101" t="str">
            <v>GL</v>
          </cell>
          <cell r="D1101" t="str">
            <v>OE</v>
          </cell>
        </row>
        <row r="1102">
          <cell r="A1102" t="str">
            <v>E2C1139279</v>
          </cell>
          <cell r="B1102" t="str">
            <v>H</v>
          </cell>
          <cell r="C1102" t="str">
            <v>V1</v>
          </cell>
          <cell r="D1102" t="str">
            <v>AI</v>
          </cell>
        </row>
        <row r="1103">
          <cell r="A1103" t="str">
            <v>E2C1137988</v>
          </cell>
          <cell r="B1103" t="str">
            <v>H</v>
          </cell>
          <cell r="C1103" t="str">
            <v>VJ</v>
          </cell>
          <cell r="D1103" t="str">
            <v>OI</v>
          </cell>
        </row>
        <row r="1104">
          <cell r="A1104" t="str">
            <v>E2C1138234</v>
          </cell>
          <cell r="B1104" t="str">
            <v>H</v>
          </cell>
          <cell r="C1104" t="str">
            <v>VJ</v>
          </cell>
          <cell r="D1104" t="str">
            <v>OI</v>
          </cell>
        </row>
        <row r="1105">
          <cell r="A1105" t="str">
            <v>E2C1138578</v>
          </cell>
          <cell r="B1105" t="str">
            <v>H</v>
          </cell>
          <cell r="C1105" t="str">
            <v>JK</v>
          </cell>
          <cell r="D1105" t="str">
            <v>AI</v>
          </cell>
        </row>
        <row r="1106">
          <cell r="A1106" t="str">
            <v>E2C1137977</v>
          </cell>
          <cell r="B1106" t="str">
            <v>H</v>
          </cell>
          <cell r="C1106" t="str">
            <v>VJ</v>
          </cell>
          <cell r="D1106" t="str">
            <v>OI</v>
          </cell>
        </row>
        <row r="1107">
          <cell r="A1107" t="str">
            <v>E2C1137587</v>
          </cell>
          <cell r="B1107" t="str">
            <v>H</v>
          </cell>
          <cell r="C1107" t="str">
            <v>VJ</v>
          </cell>
          <cell r="D1107" t="str">
            <v>OI</v>
          </cell>
        </row>
        <row r="1108">
          <cell r="A1108" t="str">
            <v>E2C1138842</v>
          </cell>
          <cell r="B1108" t="str">
            <v>H</v>
          </cell>
          <cell r="C1108" t="str">
            <v>JK</v>
          </cell>
          <cell r="D1108" t="str">
            <v>AI</v>
          </cell>
        </row>
        <row r="1109">
          <cell r="A1109" t="str">
            <v>E2C1139309</v>
          </cell>
          <cell r="B1109" t="str">
            <v>H</v>
          </cell>
          <cell r="C1109" t="str">
            <v>V1</v>
          </cell>
          <cell r="D1109" t="str">
            <v>AI</v>
          </cell>
        </row>
        <row r="1110">
          <cell r="A1110" t="str">
            <v>E2C1139740</v>
          </cell>
          <cell r="B1110" t="str">
            <v>H</v>
          </cell>
          <cell r="C1110" t="str">
            <v>V1</v>
          </cell>
          <cell r="D1110" t="str">
            <v>AI</v>
          </cell>
        </row>
        <row r="1111">
          <cell r="A1111" t="str">
            <v>E2C1137760</v>
          </cell>
          <cell r="B1111" t="str">
            <v>I</v>
          </cell>
          <cell r="C1111" t="str">
            <v>VJ</v>
          </cell>
          <cell r="D1111" t="str">
            <v>OI</v>
          </cell>
        </row>
        <row r="1112">
          <cell r="A1112" t="str">
            <v>E2C1138764</v>
          </cell>
          <cell r="B1112" t="str">
            <v>H</v>
          </cell>
          <cell r="C1112" t="str">
            <v>JK</v>
          </cell>
          <cell r="D1112" t="str">
            <v>AI</v>
          </cell>
        </row>
        <row r="1113">
          <cell r="A1113" t="str">
            <v>E2C1139433</v>
          </cell>
          <cell r="B1113" t="str">
            <v>F</v>
          </cell>
          <cell r="C1113" t="str">
            <v>MH</v>
          </cell>
          <cell r="D1113" t="str">
            <v>CHB</v>
          </cell>
        </row>
        <row r="1114">
          <cell r="A1114" t="str">
            <v>E2C1138322</v>
          </cell>
          <cell r="B1114" t="str">
            <v>N</v>
          </cell>
          <cell r="C1114" t="str">
            <v>AT</v>
          </cell>
          <cell r="D1114" t="str">
            <v>oe</v>
          </cell>
        </row>
        <row r="1115">
          <cell r="A1115" t="str">
            <v>E2C1137586</v>
          </cell>
          <cell r="B1115" t="str">
            <v>N</v>
          </cell>
          <cell r="C1115" t="str">
            <v>ST</v>
          </cell>
          <cell r="D1115" t="str">
            <v>OM</v>
          </cell>
        </row>
        <row r="1116">
          <cell r="A1116" t="str">
            <v>E2C1139878</v>
          </cell>
          <cell r="B1116" t="str">
            <v>N</v>
          </cell>
          <cell r="C1116" t="str">
            <v>AJ</v>
          </cell>
          <cell r="D1116" t="str">
            <v>OE</v>
          </cell>
        </row>
        <row r="1117">
          <cell r="A1117" t="str">
            <v>E2C1138068</v>
          </cell>
          <cell r="B1117" t="str">
            <v>H</v>
          </cell>
          <cell r="C1117" t="str">
            <v>JK</v>
          </cell>
          <cell r="D1117" t="str">
            <v>AI</v>
          </cell>
        </row>
        <row r="1118">
          <cell r="A1118" t="str">
            <v>E2C1138014</v>
          </cell>
          <cell r="B1118" t="str">
            <v>H</v>
          </cell>
          <cell r="C1118" t="str">
            <v>V1</v>
          </cell>
          <cell r="D1118" t="str">
            <v>AI</v>
          </cell>
        </row>
        <row r="1119">
          <cell r="A1119" t="str">
            <v>E2C1138494</v>
          </cell>
          <cell r="B1119" t="str">
            <v>H</v>
          </cell>
          <cell r="C1119" t="str">
            <v>VJ</v>
          </cell>
          <cell r="D1119" t="str">
            <v>OI</v>
          </cell>
        </row>
        <row r="1120">
          <cell r="A1120" t="str">
            <v>E2C1139846</v>
          </cell>
          <cell r="B1120" t="str">
            <v>N</v>
          </cell>
          <cell r="C1120" t="str">
            <v>GL</v>
          </cell>
          <cell r="D1120" t="str">
            <v>OE</v>
          </cell>
        </row>
        <row r="1121">
          <cell r="A1121" t="str">
            <v>E2C1139289</v>
          </cell>
          <cell r="B1121" t="str">
            <v>H</v>
          </cell>
          <cell r="C1121" t="str">
            <v>V1</v>
          </cell>
          <cell r="D1121" t="str">
            <v>AI</v>
          </cell>
        </row>
        <row r="1122">
          <cell r="A1122" t="str">
            <v>E2C1138763</v>
          </cell>
          <cell r="B1122" t="str">
            <v>H</v>
          </cell>
          <cell r="C1122" t="str">
            <v>JK</v>
          </cell>
          <cell r="D1122" t="str">
            <v>AI</v>
          </cell>
        </row>
        <row r="1123">
          <cell r="A1123" t="str">
            <v>E2C1138201</v>
          </cell>
          <cell r="B1123" t="str">
            <v>I</v>
          </cell>
          <cell r="C1123" t="str">
            <v>JK</v>
          </cell>
          <cell r="D1123" t="str">
            <v>AI</v>
          </cell>
        </row>
        <row r="1124">
          <cell r="A1124" t="str">
            <v>E2C1138496</v>
          </cell>
          <cell r="B1124" t="str">
            <v>H</v>
          </cell>
          <cell r="C1124" t="str">
            <v>VJ</v>
          </cell>
          <cell r="D1124" t="str">
            <v>OI</v>
          </cell>
        </row>
        <row r="1125">
          <cell r="A1125" t="str">
            <v>E2C1138370</v>
          </cell>
          <cell r="B1125" t="str">
            <v>N</v>
          </cell>
          <cell r="C1125" t="str">
            <v>AT</v>
          </cell>
          <cell r="D1125" t="str">
            <v>oe</v>
          </cell>
        </row>
        <row r="1126">
          <cell r="A1126" t="str">
            <v>E2C1139230</v>
          </cell>
          <cell r="B1126" t="str">
            <v>F</v>
          </cell>
          <cell r="C1126" t="str">
            <v>MH</v>
          </cell>
          <cell r="D1126" t="str">
            <v>CHB</v>
          </cell>
        </row>
        <row r="1127">
          <cell r="A1127" t="str">
            <v>E2C1139571</v>
          </cell>
          <cell r="B1127" t="str">
            <v>N</v>
          </cell>
          <cell r="C1127" t="str">
            <v>AJ</v>
          </cell>
          <cell r="D1127" t="str">
            <v>OE</v>
          </cell>
        </row>
        <row r="1128">
          <cell r="A1128" t="str">
            <v>E2C1138823</v>
          </cell>
          <cell r="B1128" t="str">
            <v>H</v>
          </cell>
          <cell r="C1128" t="str">
            <v>VI</v>
          </cell>
          <cell r="D1128" t="str">
            <v>OI</v>
          </cell>
        </row>
        <row r="1129">
          <cell r="A1129" t="str">
            <v>E2C1137719</v>
          </cell>
          <cell r="B1129" t="str">
            <v>H</v>
          </cell>
          <cell r="C1129" t="str">
            <v>JK</v>
          </cell>
          <cell r="D1129" t="str">
            <v>AI</v>
          </cell>
        </row>
        <row r="1130">
          <cell r="A1130" t="str">
            <v>E2C1138225</v>
          </cell>
          <cell r="B1130" t="str">
            <v>I</v>
          </cell>
          <cell r="C1130" t="str">
            <v>MH</v>
          </cell>
          <cell r="D1130" t="str">
            <v>CHB</v>
          </cell>
        </row>
        <row r="1131">
          <cell r="A1131" t="str">
            <v>E2C1137826</v>
          </cell>
          <cell r="B1131" t="str">
            <v>H</v>
          </cell>
          <cell r="C1131" t="str">
            <v>JK</v>
          </cell>
          <cell r="D1131" t="str">
            <v>AI</v>
          </cell>
        </row>
        <row r="1132">
          <cell r="A1132" t="str">
            <v>E2C1138800</v>
          </cell>
          <cell r="B1132" t="str">
            <v>H</v>
          </cell>
          <cell r="C1132" t="str">
            <v>VI</v>
          </cell>
          <cell r="D1132" t="str">
            <v>OI</v>
          </cell>
        </row>
        <row r="1133">
          <cell r="A1133" t="str">
            <v>E2C1139124</v>
          </cell>
          <cell r="B1133" t="str">
            <v>H</v>
          </cell>
          <cell r="C1133" t="str">
            <v>V1</v>
          </cell>
          <cell r="D1133" t="str">
            <v>AI</v>
          </cell>
        </row>
        <row r="1134">
          <cell r="A1134" t="str">
            <v>E2C1139637</v>
          </cell>
          <cell r="B1134" t="str">
            <v>N</v>
          </cell>
          <cell r="C1134" t="str">
            <v>AJ</v>
          </cell>
          <cell r="D1134" t="str">
            <v>OE</v>
          </cell>
        </row>
        <row r="1135">
          <cell r="A1135" t="str">
            <v>E2C1139136</v>
          </cell>
          <cell r="B1135" t="str">
            <v>H</v>
          </cell>
          <cell r="C1135" t="str">
            <v>V1</v>
          </cell>
          <cell r="D1135" t="str">
            <v>AI</v>
          </cell>
        </row>
        <row r="1136">
          <cell r="A1136" t="str">
            <v>E2C1137828</v>
          </cell>
          <cell r="B1136" t="str">
            <v>H</v>
          </cell>
          <cell r="C1136" t="str">
            <v>V1</v>
          </cell>
          <cell r="D1136" t="str">
            <v>AI</v>
          </cell>
        </row>
        <row r="1137">
          <cell r="A1137" t="str">
            <v>E2C1139280</v>
          </cell>
          <cell r="B1137" t="str">
            <v>I</v>
          </cell>
          <cell r="C1137" t="str">
            <v>VI</v>
          </cell>
          <cell r="D1137" t="str">
            <v>OI</v>
          </cell>
        </row>
        <row r="1138">
          <cell r="A1138" t="str">
            <v>E2C1139833</v>
          </cell>
          <cell r="B1138" t="str">
            <v>H</v>
          </cell>
          <cell r="C1138" t="str">
            <v>V1</v>
          </cell>
          <cell r="D1138" t="str">
            <v>AI</v>
          </cell>
        </row>
        <row r="1139">
          <cell r="A1139" t="str">
            <v>E2C1139315</v>
          </cell>
          <cell r="B1139" t="str">
            <v>H</v>
          </cell>
          <cell r="C1139" t="str">
            <v>V1</v>
          </cell>
          <cell r="D1139" t="str">
            <v>AI</v>
          </cell>
        </row>
        <row r="1140">
          <cell r="A1140" t="str">
            <v>E2C1137641</v>
          </cell>
          <cell r="B1140" t="str">
            <v>I</v>
          </cell>
          <cell r="C1140" t="str">
            <v>V1</v>
          </cell>
          <cell r="D1140" t="str">
            <v>AI</v>
          </cell>
        </row>
        <row r="1141">
          <cell r="A1141" t="str">
            <v>E2C1137994</v>
          </cell>
          <cell r="B1141" t="str">
            <v>H</v>
          </cell>
          <cell r="C1141" t="str">
            <v>V1</v>
          </cell>
          <cell r="D1141" t="str">
            <v>AI</v>
          </cell>
        </row>
        <row r="1142">
          <cell r="A1142" t="str">
            <v>E2C1138199</v>
          </cell>
          <cell r="B1142" t="str">
            <v>H</v>
          </cell>
          <cell r="C1142" t="str">
            <v>V2</v>
          </cell>
          <cell r="D1142" t="str">
            <v>OI</v>
          </cell>
        </row>
        <row r="1143">
          <cell r="A1143" t="str">
            <v>E2C1139666</v>
          </cell>
          <cell r="B1143" t="str">
            <v>H</v>
          </cell>
          <cell r="C1143" t="str">
            <v>V1</v>
          </cell>
          <cell r="D1143" t="str">
            <v>AI</v>
          </cell>
        </row>
        <row r="1144">
          <cell r="A1144" t="str">
            <v>E2C1138335</v>
          </cell>
          <cell r="B1144" t="str">
            <v>N</v>
          </cell>
          <cell r="C1144" t="str">
            <v>SS</v>
          </cell>
          <cell r="D1144" t="str">
            <v>OM</v>
          </cell>
        </row>
        <row r="1145">
          <cell r="A1145" t="str">
            <v>E2C1139731</v>
          </cell>
          <cell r="B1145" t="str">
            <v>H</v>
          </cell>
          <cell r="C1145" t="str">
            <v>V1</v>
          </cell>
          <cell r="D1145" t="str">
            <v>AI</v>
          </cell>
        </row>
        <row r="1146">
          <cell r="A1146" t="str">
            <v>E2C1137486</v>
          </cell>
          <cell r="B1146" t="str">
            <v>H</v>
          </cell>
          <cell r="C1146" t="str">
            <v>V1</v>
          </cell>
          <cell r="D1146" t="str">
            <v>AI</v>
          </cell>
        </row>
        <row r="1147">
          <cell r="A1147" t="str">
            <v>E2C1137575</v>
          </cell>
          <cell r="B1147" t="str">
            <v>N</v>
          </cell>
          <cell r="C1147" t="str">
            <v>SW</v>
          </cell>
          <cell r="D1147" t="str">
            <v>OE</v>
          </cell>
        </row>
        <row r="1148">
          <cell r="A1148" t="str">
            <v>E2C1138096</v>
          </cell>
          <cell r="B1148" t="str">
            <v>I</v>
          </cell>
          <cell r="C1148" t="str">
            <v>JK</v>
          </cell>
          <cell r="D1148" t="str">
            <v>AI</v>
          </cell>
        </row>
        <row r="1149">
          <cell r="A1149" t="str">
            <v>E2C1138437</v>
          </cell>
          <cell r="B1149" t="str">
            <v>N</v>
          </cell>
          <cell r="C1149" t="str">
            <v>AJ</v>
          </cell>
          <cell r="D1149" t="str">
            <v>OE</v>
          </cell>
        </row>
        <row r="1150">
          <cell r="A1150" t="str">
            <v>E2C1138910</v>
          </cell>
          <cell r="B1150" t="str">
            <v>H</v>
          </cell>
          <cell r="C1150" t="str">
            <v>VJ</v>
          </cell>
          <cell r="D1150" t="str">
            <v>OI</v>
          </cell>
        </row>
        <row r="1151">
          <cell r="A1151" t="str">
            <v>E2C1138912</v>
          </cell>
          <cell r="B1151" t="str">
            <v>H</v>
          </cell>
          <cell r="C1151" t="str">
            <v>VJ</v>
          </cell>
          <cell r="D1151" t="str">
            <v>OI</v>
          </cell>
        </row>
        <row r="1152">
          <cell r="A1152" t="str">
            <v>E2C1138499</v>
          </cell>
          <cell r="B1152" t="str">
            <v>I</v>
          </cell>
          <cell r="C1152" t="str">
            <v>VJ</v>
          </cell>
          <cell r="D1152" t="str">
            <v>OI</v>
          </cell>
        </row>
        <row r="1153">
          <cell r="A1153" t="str">
            <v>E2C1138873</v>
          </cell>
          <cell r="B1153" t="str">
            <v>H</v>
          </cell>
          <cell r="C1153" t="str">
            <v>CR</v>
          </cell>
          <cell r="D1153" t="str">
            <v>AI</v>
          </cell>
        </row>
        <row r="1154">
          <cell r="A1154" t="str">
            <v>E2C1138698</v>
          </cell>
          <cell r="B1154" t="str">
            <v>N</v>
          </cell>
          <cell r="C1154" t="str">
            <v>CR</v>
          </cell>
          <cell r="D1154" t="str">
            <v>AI</v>
          </cell>
        </row>
        <row r="1155">
          <cell r="A1155" t="str">
            <v>E2C1137571</v>
          </cell>
          <cell r="B1155" t="str">
            <v>H</v>
          </cell>
          <cell r="C1155" t="str">
            <v>VJ</v>
          </cell>
          <cell r="D1155" t="str">
            <v>OI</v>
          </cell>
        </row>
        <row r="1156">
          <cell r="A1156" t="str">
            <v>E2C1138108</v>
          </cell>
          <cell r="B1156" t="str">
            <v>H</v>
          </cell>
          <cell r="C1156" t="str">
            <v>V1</v>
          </cell>
          <cell r="D1156" t="str">
            <v>AI</v>
          </cell>
        </row>
        <row r="1157">
          <cell r="A1157" t="str">
            <v>E2C1137987</v>
          </cell>
          <cell r="B1157" t="str">
            <v>H</v>
          </cell>
          <cell r="C1157" t="str">
            <v>VJ</v>
          </cell>
          <cell r="D1157" t="str">
            <v>OI</v>
          </cell>
        </row>
        <row r="1158">
          <cell r="A1158" t="str">
            <v>E2C1138197</v>
          </cell>
          <cell r="B1158" t="str">
            <v>N</v>
          </cell>
          <cell r="C1158" t="str">
            <v>CR</v>
          </cell>
          <cell r="D1158" t="str">
            <v>AI</v>
          </cell>
        </row>
        <row r="1159">
          <cell r="A1159" t="str">
            <v>E2C1138210</v>
          </cell>
          <cell r="B1159" t="str">
            <v>N</v>
          </cell>
          <cell r="C1159" t="str">
            <v>CR</v>
          </cell>
          <cell r="D1159" t="str">
            <v>AI</v>
          </cell>
        </row>
        <row r="1160">
          <cell r="A1160" t="str">
            <v>E2C1137750</v>
          </cell>
          <cell r="B1160" t="str">
            <v>I</v>
          </cell>
          <cell r="C1160" t="str">
            <v>VJ</v>
          </cell>
          <cell r="D1160" t="str">
            <v>OI</v>
          </cell>
        </row>
        <row r="1161">
          <cell r="A1161" t="str">
            <v>E2C1139250</v>
          </cell>
          <cell r="B1161" t="str">
            <v>I</v>
          </cell>
          <cell r="C1161" t="str">
            <v>V1</v>
          </cell>
          <cell r="D1161" t="str">
            <v>AI</v>
          </cell>
        </row>
        <row r="1162">
          <cell r="A1162" t="str">
            <v>E2C1138611</v>
          </cell>
          <cell r="B1162" t="str">
            <v>H</v>
          </cell>
          <cell r="C1162" t="str">
            <v>VJ</v>
          </cell>
          <cell r="D1162" t="str">
            <v>OI</v>
          </cell>
        </row>
        <row r="1163">
          <cell r="A1163" t="str">
            <v>E2C1139112</v>
          </cell>
          <cell r="B1163" t="str">
            <v>N</v>
          </cell>
          <cell r="C1163" t="str">
            <v>AT</v>
          </cell>
          <cell r="D1163" t="str">
            <v>oe</v>
          </cell>
        </row>
        <row r="1164">
          <cell r="A1164" t="str">
            <v>E2C1139113</v>
          </cell>
          <cell r="B1164" t="str">
            <v>N</v>
          </cell>
          <cell r="C1164" t="str">
            <v>AT</v>
          </cell>
          <cell r="D1164" t="str">
            <v>oe</v>
          </cell>
        </row>
        <row r="1165">
          <cell r="A1165" t="str">
            <v>E2C1139114</v>
          </cell>
          <cell r="B1165" t="str">
            <v>N</v>
          </cell>
          <cell r="C1165" t="str">
            <v>AT</v>
          </cell>
          <cell r="D1165" t="str">
            <v>oe</v>
          </cell>
        </row>
        <row r="1166">
          <cell r="A1166" t="str">
            <v>E2C1139116</v>
          </cell>
          <cell r="B1166" t="str">
            <v>N</v>
          </cell>
          <cell r="C1166" t="str">
            <v>AT</v>
          </cell>
          <cell r="D1166" t="str">
            <v>oe</v>
          </cell>
        </row>
        <row r="1167">
          <cell r="A1167" t="str">
            <v>E2C1139117</v>
          </cell>
          <cell r="B1167" t="str">
            <v>N</v>
          </cell>
          <cell r="C1167" t="str">
            <v>AT</v>
          </cell>
          <cell r="D1167" t="str">
            <v>oe</v>
          </cell>
        </row>
        <row r="1168">
          <cell r="A1168" t="str">
            <v>E2C1139118</v>
          </cell>
          <cell r="B1168" t="str">
            <v>N</v>
          </cell>
          <cell r="C1168" t="str">
            <v>AT</v>
          </cell>
          <cell r="D1168" t="str">
            <v>oe</v>
          </cell>
        </row>
        <row r="1169">
          <cell r="A1169" t="str">
            <v>E2C1139119</v>
          </cell>
          <cell r="B1169" t="str">
            <v>N</v>
          </cell>
          <cell r="C1169" t="str">
            <v>AT</v>
          </cell>
          <cell r="D1169" t="str">
            <v>oe</v>
          </cell>
        </row>
        <row r="1170">
          <cell r="A1170" t="str">
            <v>E2C1138517</v>
          </cell>
          <cell r="B1170" t="str">
            <v>H</v>
          </cell>
          <cell r="C1170" t="str">
            <v>VJ</v>
          </cell>
          <cell r="D1170" t="str">
            <v>OI</v>
          </cell>
        </row>
        <row r="1171">
          <cell r="A1171" t="str">
            <v>E2C1138518</v>
          </cell>
          <cell r="B1171" t="str">
            <v>H</v>
          </cell>
          <cell r="C1171" t="str">
            <v>VJ</v>
          </cell>
          <cell r="D1171" t="str">
            <v>OI</v>
          </cell>
        </row>
        <row r="1172">
          <cell r="A1172" t="str">
            <v>E2C1138850</v>
          </cell>
          <cell r="B1172" t="str">
            <v>H</v>
          </cell>
          <cell r="C1172" t="str">
            <v>JK</v>
          </cell>
          <cell r="D1172" t="str">
            <v>AI</v>
          </cell>
        </row>
        <row r="1173">
          <cell r="A1173" t="str">
            <v>E2C1137609</v>
          </cell>
          <cell r="B1173" t="str">
            <v>H</v>
          </cell>
          <cell r="C1173" t="str">
            <v>JK</v>
          </cell>
          <cell r="D1173" t="str">
            <v>AI</v>
          </cell>
        </row>
        <row r="1174">
          <cell r="A1174" t="str">
            <v>E2C1138519</v>
          </cell>
          <cell r="B1174" t="str">
            <v>H</v>
          </cell>
          <cell r="C1174" t="str">
            <v>VJ</v>
          </cell>
          <cell r="D1174" t="str">
            <v>OI</v>
          </cell>
        </row>
        <row r="1175">
          <cell r="A1175" t="str">
            <v>E2C1138524</v>
          </cell>
          <cell r="B1175" t="str">
            <v>H</v>
          </cell>
          <cell r="C1175" t="str">
            <v>VJ</v>
          </cell>
          <cell r="D1175" t="str">
            <v>OI</v>
          </cell>
        </row>
        <row r="1176">
          <cell r="A1176" t="str">
            <v>E2C1139834</v>
          </cell>
          <cell r="B1176" t="str">
            <v>H</v>
          </cell>
          <cell r="C1176" t="str">
            <v>V1</v>
          </cell>
          <cell r="D1176" t="str">
            <v>AI</v>
          </cell>
        </row>
        <row r="1177">
          <cell r="A1177" t="str">
            <v>E2C1138856</v>
          </cell>
          <cell r="B1177" t="str">
            <v>H</v>
          </cell>
          <cell r="C1177" t="str">
            <v>JK</v>
          </cell>
          <cell r="D1177" t="str">
            <v>AI</v>
          </cell>
        </row>
        <row r="1178">
          <cell r="A1178" t="str">
            <v>E2C1138765</v>
          </cell>
          <cell r="B1178" t="str">
            <v>H</v>
          </cell>
          <cell r="C1178" t="str">
            <v>JK</v>
          </cell>
          <cell r="D1178" t="str">
            <v>AI</v>
          </cell>
        </row>
        <row r="1179">
          <cell r="A1179" t="str">
            <v>E2C1138132</v>
          </cell>
          <cell r="B1179" t="str">
            <v>N</v>
          </cell>
          <cell r="C1179" t="str">
            <v>SW</v>
          </cell>
          <cell r="D1179" t="str">
            <v>OE</v>
          </cell>
        </row>
        <row r="1180">
          <cell r="A1180" t="str">
            <v>E2C1137746</v>
          </cell>
          <cell r="B1180" t="str">
            <v>H</v>
          </cell>
          <cell r="C1180" t="str">
            <v>V1</v>
          </cell>
          <cell r="D1180" t="str">
            <v>AI</v>
          </cell>
        </row>
        <row r="1181">
          <cell r="A1181" t="str">
            <v>E2C1137738</v>
          </cell>
          <cell r="B1181" t="str">
            <v>H</v>
          </cell>
          <cell r="C1181" t="str">
            <v>V1</v>
          </cell>
          <cell r="D1181" t="str">
            <v>AI</v>
          </cell>
        </row>
        <row r="1182">
          <cell r="A1182" t="str">
            <v>E2C1139760</v>
          </cell>
          <cell r="B1182" t="str">
            <v>H</v>
          </cell>
          <cell r="C1182" t="str">
            <v>V1</v>
          </cell>
          <cell r="D1182" t="str">
            <v>AI</v>
          </cell>
        </row>
        <row r="1183">
          <cell r="A1183" t="str">
            <v>E2C1138497</v>
          </cell>
          <cell r="B1183" t="str">
            <v>H</v>
          </cell>
          <cell r="C1183" t="str">
            <v>VJ</v>
          </cell>
          <cell r="D1183" t="str">
            <v>OI</v>
          </cell>
        </row>
        <row r="1184">
          <cell r="A1184" t="str">
            <v>E2C1138065</v>
          </cell>
          <cell r="B1184" t="str">
            <v>H</v>
          </cell>
          <cell r="C1184" t="str">
            <v>V1</v>
          </cell>
          <cell r="D1184" t="str">
            <v>AI</v>
          </cell>
        </row>
        <row r="1185">
          <cell r="A1185" t="str">
            <v>E2C1139283</v>
          </cell>
          <cell r="B1185" t="str">
            <v>H</v>
          </cell>
          <cell r="C1185" t="str">
            <v>V1</v>
          </cell>
          <cell r="D1185" t="str">
            <v>AI</v>
          </cell>
        </row>
        <row r="1186">
          <cell r="A1186" t="str">
            <v>E2C1137876</v>
          </cell>
          <cell r="B1186" t="str">
            <v>N</v>
          </cell>
          <cell r="C1186" t="str">
            <v>AT</v>
          </cell>
          <cell r="D1186" t="str">
            <v>oe</v>
          </cell>
        </row>
        <row r="1187">
          <cell r="A1187" t="str">
            <v>E2C1138436</v>
          </cell>
          <cell r="B1187" t="str">
            <v>N</v>
          </cell>
          <cell r="C1187" t="str">
            <v>AJ</v>
          </cell>
          <cell r="D1187" t="str">
            <v>OE</v>
          </cell>
        </row>
        <row r="1188">
          <cell r="A1188" t="str">
            <v>E2C1139276</v>
          </cell>
          <cell r="B1188" t="str">
            <v>H</v>
          </cell>
          <cell r="C1188" t="str">
            <v>V1</v>
          </cell>
          <cell r="D1188" t="str">
            <v>AI</v>
          </cell>
        </row>
        <row r="1189">
          <cell r="A1189" t="str">
            <v>E2C1138715</v>
          </cell>
          <cell r="B1189" t="str">
            <v>N</v>
          </cell>
          <cell r="C1189" t="str">
            <v>AT</v>
          </cell>
          <cell r="D1189" t="str">
            <v>oe</v>
          </cell>
        </row>
        <row r="1190">
          <cell r="A1190" t="str">
            <v>E2C1138631</v>
          </cell>
          <cell r="B1190" t="str">
            <v>I</v>
          </cell>
          <cell r="C1190" t="str">
            <v>JK</v>
          </cell>
          <cell r="D1190" t="str">
            <v>AI</v>
          </cell>
        </row>
        <row r="1191">
          <cell r="A1191" t="str">
            <v>E2C1139247</v>
          </cell>
          <cell r="B1191" t="str">
            <v>I</v>
          </cell>
          <cell r="C1191" t="str">
            <v>V1</v>
          </cell>
          <cell r="D1191" t="str">
            <v>AI</v>
          </cell>
        </row>
        <row r="1192">
          <cell r="A1192" t="str">
            <v>E2C1138468</v>
          </cell>
          <cell r="B1192" t="str">
            <v>H</v>
          </cell>
          <cell r="C1192" t="str">
            <v>VJ</v>
          </cell>
          <cell r="D1192" t="str">
            <v>OI</v>
          </cell>
        </row>
        <row r="1193">
          <cell r="A1193" t="str">
            <v>E2C1138924</v>
          </cell>
          <cell r="B1193" t="str">
            <v>N</v>
          </cell>
          <cell r="C1193" t="str">
            <v>ST</v>
          </cell>
          <cell r="D1193" t="str">
            <v>OM</v>
          </cell>
        </row>
        <row r="1194">
          <cell r="A1194" t="str">
            <v>E2C1137725</v>
          </cell>
          <cell r="B1194" t="str">
            <v>H</v>
          </cell>
          <cell r="C1194" t="str">
            <v>JK</v>
          </cell>
          <cell r="D1194" t="str">
            <v>AI</v>
          </cell>
        </row>
        <row r="1195">
          <cell r="A1195" t="str">
            <v>E2C1138913</v>
          </cell>
          <cell r="B1195" t="str">
            <v>H</v>
          </cell>
          <cell r="C1195" t="str">
            <v>VJ</v>
          </cell>
          <cell r="D1195" t="str">
            <v>OI</v>
          </cell>
        </row>
        <row r="1196">
          <cell r="A1196" t="str">
            <v>E2C1138332</v>
          </cell>
          <cell r="B1196" t="str">
            <v>H</v>
          </cell>
          <cell r="C1196" t="str">
            <v>JK</v>
          </cell>
          <cell r="D1196" t="str">
            <v>AI</v>
          </cell>
        </row>
        <row r="1197">
          <cell r="A1197" t="str">
            <v>E2C1139135</v>
          </cell>
          <cell r="B1197" t="str">
            <v>H</v>
          </cell>
          <cell r="C1197" t="str">
            <v>CR</v>
          </cell>
          <cell r="D1197" t="str">
            <v>AI</v>
          </cell>
        </row>
        <row r="1198">
          <cell r="A1198" t="str">
            <v>E2C1138469</v>
          </cell>
          <cell r="B1198" t="str">
            <v>N</v>
          </cell>
          <cell r="C1198" t="str">
            <v>AJ</v>
          </cell>
          <cell r="D1198" t="str">
            <v>OE</v>
          </cell>
        </row>
        <row r="1199">
          <cell r="A1199" t="str">
            <v>E2C1139844</v>
          </cell>
          <cell r="B1199" t="str">
            <v>N</v>
          </cell>
          <cell r="C1199" t="str">
            <v>SW</v>
          </cell>
          <cell r="D1199" t="str">
            <v>OE</v>
          </cell>
        </row>
        <row r="1200">
          <cell r="A1200" t="str">
            <v>E2C1138516</v>
          </cell>
          <cell r="B1200" t="str">
            <v>H</v>
          </cell>
          <cell r="C1200" t="str">
            <v>VJ</v>
          </cell>
          <cell r="D1200" t="str">
            <v>OI</v>
          </cell>
        </row>
        <row r="1201">
          <cell r="A1201" t="str">
            <v>E2C1138320</v>
          </cell>
          <cell r="B1201" t="str">
            <v>H</v>
          </cell>
          <cell r="C1201" t="str">
            <v>CR</v>
          </cell>
          <cell r="D1201" t="str">
            <v>AI</v>
          </cell>
        </row>
        <row r="1202">
          <cell r="A1202" t="str">
            <v>E2C1138467</v>
          </cell>
          <cell r="B1202" t="str">
            <v>H</v>
          </cell>
          <cell r="C1202" t="str">
            <v>VJ</v>
          </cell>
          <cell r="D1202" t="str">
            <v>OI</v>
          </cell>
        </row>
        <row r="1203">
          <cell r="A1203" t="str">
            <v>E2C1138220</v>
          </cell>
          <cell r="B1203" t="str">
            <v>H</v>
          </cell>
          <cell r="C1203" t="str">
            <v>JK</v>
          </cell>
          <cell r="D1203" t="str">
            <v>AI</v>
          </cell>
        </row>
        <row r="1204">
          <cell r="A1204" t="str">
            <v>E2C1138223</v>
          </cell>
          <cell r="B1204" t="str">
            <v>H</v>
          </cell>
          <cell r="C1204" t="str">
            <v>JK</v>
          </cell>
          <cell r="D1204" t="str">
            <v>AI</v>
          </cell>
        </row>
        <row r="1205">
          <cell r="A1205" t="str">
            <v>E2C1137715</v>
          </cell>
          <cell r="B1205" t="str">
            <v>H</v>
          </cell>
          <cell r="C1205" t="str">
            <v>JK</v>
          </cell>
          <cell r="D1205" t="str">
            <v>AI</v>
          </cell>
        </row>
        <row r="1206">
          <cell r="A1206" t="str">
            <v>E2C1139137</v>
          </cell>
          <cell r="B1206" t="str">
            <v>N</v>
          </cell>
          <cell r="C1206" t="str">
            <v>AT</v>
          </cell>
          <cell r="D1206" t="str">
            <v>oe</v>
          </cell>
        </row>
        <row r="1207">
          <cell r="A1207" t="str">
            <v>E2C1139141</v>
          </cell>
          <cell r="B1207" t="str">
            <v>N</v>
          </cell>
          <cell r="C1207" t="str">
            <v>AT</v>
          </cell>
          <cell r="D1207" t="str">
            <v>oe</v>
          </cell>
        </row>
        <row r="1208">
          <cell r="A1208" t="str">
            <v>E2C1139668</v>
          </cell>
          <cell r="B1208" t="str">
            <v>H</v>
          </cell>
          <cell r="C1208" t="str">
            <v>V1</v>
          </cell>
          <cell r="D1208" t="str">
            <v>AI</v>
          </cell>
        </row>
        <row r="1209">
          <cell r="A1209" t="str">
            <v>E2C1139193</v>
          </cell>
          <cell r="B1209" t="str">
            <v>I</v>
          </cell>
          <cell r="C1209" t="str">
            <v>VI</v>
          </cell>
          <cell r="D1209" t="str">
            <v>OI</v>
          </cell>
        </row>
        <row r="1210">
          <cell r="A1210" t="str">
            <v>E2C1139132</v>
          </cell>
          <cell r="B1210" t="str">
            <v>H</v>
          </cell>
          <cell r="C1210" t="str">
            <v>CR</v>
          </cell>
          <cell r="D1210" t="str">
            <v>AI</v>
          </cell>
        </row>
        <row r="1211">
          <cell r="A1211" t="str">
            <v>E2C1137751</v>
          </cell>
          <cell r="B1211" t="str">
            <v>H</v>
          </cell>
          <cell r="C1211" t="str">
            <v>V1</v>
          </cell>
          <cell r="D1211" t="str">
            <v>AI</v>
          </cell>
        </row>
        <row r="1212">
          <cell r="A1212" t="str">
            <v>E2C1138191</v>
          </cell>
          <cell r="B1212" t="str">
            <v>I</v>
          </cell>
          <cell r="C1212" t="str">
            <v>MH</v>
          </cell>
          <cell r="D1212" t="str">
            <v>CHB</v>
          </cell>
        </row>
        <row r="1213">
          <cell r="A1213" t="str">
            <v>E2C1139190</v>
          </cell>
          <cell r="B1213" t="str">
            <v>N</v>
          </cell>
          <cell r="C1213" t="str">
            <v>AJ</v>
          </cell>
          <cell r="D1213" t="str">
            <v>OE</v>
          </cell>
        </row>
        <row r="1214">
          <cell r="A1214" t="str">
            <v>E2C1139191</v>
          </cell>
          <cell r="B1214" t="str">
            <v>N</v>
          </cell>
          <cell r="C1214" t="str">
            <v>AJ</v>
          </cell>
          <cell r="D1214" t="str">
            <v>OE</v>
          </cell>
        </row>
        <row r="1215">
          <cell r="A1215" t="str">
            <v>E2C1139787</v>
          </cell>
          <cell r="B1215" t="str">
            <v>N</v>
          </cell>
          <cell r="C1215" t="str">
            <v>SW</v>
          </cell>
          <cell r="D1215" t="str">
            <v>OE</v>
          </cell>
        </row>
        <row r="1216">
          <cell r="A1216" t="str">
            <v>E2C1139765</v>
          </cell>
          <cell r="B1216" t="str">
            <v>N</v>
          </cell>
          <cell r="C1216" t="str">
            <v>SW</v>
          </cell>
          <cell r="D1216" t="str">
            <v>OE</v>
          </cell>
        </row>
        <row r="1217">
          <cell r="A1217" t="str">
            <v>E2C1137628</v>
          </cell>
          <cell r="B1217" t="str">
            <v>H</v>
          </cell>
          <cell r="C1217" t="str">
            <v>JK</v>
          </cell>
          <cell r="D1217" t="str">
            <v>AI</v>
          </cell>
        </row>
        <row r="1218">
          <cell r="A1218" t="str">
            <v>E2C1139198</v>
          </cell>
          <cell r="B1218" t="str">
            <v>N</v>
          </cell>
          <cell r="C1218" t="str">
            <v>C1</v>
          </cell>
          <cell r="D1218" t="str">
            <v>OM</v>
          </cell>
        </row>
        <row r="1219">
          <cell r="A1219" t="str">
            <v>E2C1137723</v>
          </cell>
          <cell r="B1219" t="str">
            <v>H</v>
          </cell>
          <cell r="C1219" t="str">
            <v>JK</v>
          </cell>
          <cell r="D1219" t="str">
            <v>AI</v>
          </cell>
        </row>
        <row r="1220">
          <cell r="A1220" t="str">
            <v>E2C1138681</v>
          </cell>
          <cell r="B1220" t="str">
            <v>I</v>
          </cell>
          <cell r="C1220" t="str">
            <v>MH</v>
          </cell>
          <cell r="D1220" t="str">
            <v>CHB</v>
          </cell>
        </row>
        <row r="1221">
          <cell r="A1221" t="str">
            <v>E2C1138916</v>
          </cell>
          <cell r="B1221" t="str">
            <v>H</v>
          </cell>
          <cell r="C1221" t="str">
            <v>VJ</v>
          </cell>
          <cell r="D1221" t="str">
            <v>OI</v>
          </cell>
        </row>
        <row r="1222">
          <cell r="A1222" t="str">
            <v>E2C1137700</v>
          </cell>
          <cell r="B1222" t="str">
            <v>H</v>
          </cell>
          <cell r="C1222" t="str">
            <v>V1</v>
          </cell>
          <cell r="D1222" t="str">
            <v>AI</v>
          </cell>
        </row>
        <row r="1223">
          <cell r="A1223" t="str">
            <v>E2C1139806</v>
          </cell>
          <cell r="B1223" t="str">
            <v>H</v>
          </cell>
          <cell r="C1223" t="str">
            <v>V1</v>
          </cell>
          <cell r="D1223" t="str">
            <v>AI</v>
          </cell>
        </row>
        <row r="1224">
          <cell r="A1224" t="str">
            <v>E2C1138313</v>
          </cell>
          <cell r="B1224" t="str">
            <v>F</v>
          </cell>
          <cell r="C1224" t="str">
            <v>MH</v>
          </cell>
          <cell r="D1224" t="str">
            <v>CHB</v>
          </cell>
        </row>
        <row r="1225">
          <cell r="A1225" t="str">
            <v>E2C1138106</v>
          </cell>
          <cell r="B1225" t="str">
            <v>H</v>
          </cell>
          <cell r="C1225" t="str">
            <v>JK</v>
          </cell>
          <cell r="D1225" t="str">
            <v>AI</v>
          </cell>
        </row>
        <row r="1226">
          <cell r="A1226" t="str">
            <v>E2C1138203</v>
          </cell>
          <cell r="B1226" t="str">
            <v>F</v>
          </cell>
          <cell r="C1226" t="str">
            <v>MH</v>
          </cell>
          <cell r="D1226" t="str">
            <v>CHB</v>
          </cell>
        </row>
        <row r="1227">
          <cell r="A1227" t="str">
            <v>E2C1138216</v>
          </cell>
          <cell r="B1227" t="str">
            <v>F</v>
          </cell>
          <cell r="C1227" t="str">
            <v>MH</v>
          </cell>
          <cell r="D1227" t="str">
            <v>CHB</v>
          </cell>
        </row>
        <row r="1228">
          <cell r="A1228" t="str">
            <v>E2C1138213</v>
          </cell>
          <cell r="B1228" t="str">
            <v>F</v>
          </cell>
          <cell r="C1228" t="str">
            <v>MH</v>
          </cell>
          <cell r="D1228" t="str">
            <v>CHB</v>
          </cell>
        </row>
        <row r="1229">
          <cell r="A1229" t="str">
            <v>E2C1138771</v>
          </cell>
          <cell r="B1229" t="str">
            <v>F</v>
          </cell>
          <cell r="C1229" t="str">
            <v>MH</v>
          </cell>
          <cell r="D1229" t="str">
            <v>CHB</v>
          </cell>
        </row>
        <row r="1230">
          <cell r="A1230" t="str">
            <v>E2C1138779</v>
          </cell>
          <cell r="B1230" t="str">
            <v>F</v>
          </cell>
          <cell r="C1230" t="str">
            <v>MH</v>
          </cell>
          <cell r="D1230" t="str">
            <v>CHB</v>
          </cell>
        </row>
        <row r="1231">
          <cell r="A1231" t="str">
            <v>E2C1138133</v>
          </cell>
          <cell r="B1231" t="str">
            <v>I</v>
          </cell>
          <cell r="C1231" t="str">
            <v>MH</v>
          </cell>
          <cell r="D1231" t="str">
            <v>CHB</v>
          </cell>
        </row>
        <row r="1232">
          <cell r="A1232" t="str">
            <v>E2C1138080</v>
          </cell>
          <cell r="B1232" t="str">
            <v>I</v>
          </cell>
          <cell r="C1232" t="str">
            <v>MH</v>
          </cell>
          <cell r="D1232" t="str">
            <v>CHB</v>
          </cell>
        </row>
        <row r="1233">
          <cell r="A1233" t="str">
            <v>E2C1138405</v>
          </cell>
          <cell r="B1233" t="str">
            <v>F</v>
          </cell>
          <cell r="C1233" t="str">
            <v>MH</v>
          </cell>
          <cell r="D1233" t="str">
            <v>CHB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man Devadiga" refreshedDate="42845.77115497685" createdVersion="5" refreshedVersion="5" minRefreshableVersion="3" recordCount="982">
  <cacheSource type="worksheet">
    <worksheetSource ref="A1:Y983" sheet="invoices-17-Apr-2017-035502"/>
  </cacheSource>
  <cacheFields count="25">
    <cacheField name="Invoice" numFmtId="0">
      <sharedItems/>
    </cacheField>
    <cacheField name="Date" numFmtId="15">
      <sharedItems containsSemiMixedTypes="0" containsNonDate="0" containsDate="1" containsString="0" minDate="2016-05-02T00:00:00" maxDate="2017-04-16T00:00:00"/>
    </cacheField>
    <cacheField name="File" numFmtId="0">
      <sharedItems/>
    </cacheField>
    <cacheField name="GCI" numFmtId="0">
      <sharedItems count="312">
        <s v="G0819616"/>
        <s v="G1768450"/>
        <s v="G0605643"/>
        <s v="G0309433"/>
        <s v="G0918296"/>
        <s v="G0427617"/>
        <s v="G1724728"/>
        <s v="G0552333"/>
        <s v="G2338105"/>
        <s v="G2106495"/>
        <s v="G0533701"/>
        <s v="G1527082"/>
        <s v="G0256501"/>
        <s v="G0645958"/>
        <s v="G0342006"/>
        <s v="G0397983"/>
        <s v="G0411681"/>
        <s v="G0555533"/>
        <s v="G0513826"/>
        <s v="G0725393"/>
        <s v="G0405336"/>
        <s v="G0300800"/>
        <s v="G0588184"/>
        <s v="G0403770"/>
        <s v="G0340000"/>
        <s v="G0411410"/>
        <s v="G0606463"/>
        <s v="G0604127"/>
        <s v="G0435924"/>
        <s v="G1810079"/>
        <s v="G0630627"/>
        <s v="G2423392"/>
        <s v="G1726507"/>
        <s v="G0778000"/>
        <s v="G1981127"/>
        <s v="G1832740"/>
        <s v="G1387034"/>
        <s v="G1883837"/>
        <s v="G0457614"/>
        <s v="G0333031"/>
        <s v="G0944032"/>
        <s v="G0631474"/>
        <s v="G1315261"/>
        <s v="G0631527"/>
        <s v="G0668299"/>
        <s v="G2124257"/>
        <s v="G0367484"/>
        <s v="G0546055"/>
        <s v="G0438632"/>
        <s v="G0763134"/>
        <s v="G0329445"/>
        <s v="G1163580"/>
        <s v="G0905042"/>
        <s v="G1406011"/>
        <s v="G2356300"/>
        <s v="G0612392"/>
        <s v="G0482071"/>
        <s v="G1406025"/>
        <s v="G0445880"/>
        <s v="G0984654"/>
        <s v="G0310484"/>
        <s v="G0619860"/>
        <s v="G2361250"/>
        <s v="G0428789"/>
        <s v="G0871484"/>
        <s v="G0591334"/>
        <s v="G0272685"/>
        <s v="G0901343"/>
        <s v="G1034844"/>
        <s v="G1059809"/>
        <s v="G0720026"/>
        <s v="G1632682"/>
        <s v="G0329834"/>
        <s v="G0530789"/>
        <s v="G0789661"/>
        <s v="G0256817"/>
        <s v="G0822962"/>
        <s v="G0695696"/>
        <s v="G0614448"/>
        <s v="G0627846"/>
        <s v="G0953808"/>
        <s v="G0256816"/>
        <s v="G0418262"/>
        <s v="G0508726"/>
        <s v="G2332161"/>
        <s v="G0829286"/>
        <s v="G0335156"/>
        <s v="G1263977"/>
        <s v="G1663589"/>
        <s v="G1109020"/>
        <s v="G1170615"/>
        <s v="G0581737"/>
        <s v="G1028177"/>
        <s v="G0785463"/>
        <s v="G0882372"/>
        <s v="G0584947"/>
        <s v="G1725001"/>
        <s v="G1972729"/>
        <s v="G1777837"/>
        <s v="G1673443"/>
        <s v="G0537203"/>
        <s v="G0285994"/>
        <s v="G0721330"/>
        <s v="G0773786"/>
        <s v="G0664682"/>
        <s v="G2438800"/>
        <s v="G1977418"/>
        <s v="G2390515"/>
        <s v="G2068590"/>
        <s v="G0795773"/>
        <s v="G2025884"/>
        <s v="G1783593"/>
        <s v="G2116301"/>
        <s v="G2122688"/>
        <s v="G1894113"/>
        <s v="G2320709"/>
        <s v="G0950020"/>
        <s v="G1030270"/>
        <s v="G2207914"/>
        <s v="G2340610"/>
        <s v="G0884860"/>
        <s v="G0996476"/>
        <s v="G2407232"/>
        <s v="G1949125"/>
        <s v="G1751033"/>
        <s v="G0781784"/>
        <s v="G1966907"/>
        <s v="G0895607"/>
        <s v="G1163192"/>
        <s v="G0685423"/>
        <s v="G2436128"/>
        <s v="G0343633"/>
        <s v="G2109647"/>
        <s v="G1838230"/>
        <s v="G2060147"/>
        <s v="G0510665"/>
        <s v="G0853675"/>
        <s v="G2108852"/>
        <s v="G0857377"/>
        <s v="G0822483"/>
        <s v="G1522643"/>
        <s v="G2427926"/>
        <s v="G2437425"/>
        <s v="G0299387"/>
        <s v="G2189385"/>
        <s v="G0210676"/>
        <s v="G0866231"/>
        <s v="G1942621"/>
        <s v="G2314884"/>
        <s v="G2232493"/>
        <s v="G2429835"/>
        <s v="G1906138"/>
        <s v="G2430177"/>
        <s v="G0322956"/>
        <s v="G2127188"/>
        <s v="G1141695"/>
        <s v="G0486823"/>
        <s v="G0652686"/>
        <s v="G1023605"/>
        <s v="G1714153"/>
        <s v="G0318616"/>
        <s v="G2356299"/>
        <s v="G0218110"/>
        <s v="G1578255"/>
        <s v="G1765625"/>
        <s v="G2279989"/>
        <s v="G0230068"/>
        <s v="G2296021"/>
        <s v="G0565986" u="1"/>
        <s v="G0611830" u="1"/>
        <s v="G2008007" u="1"/>
        <s v="G0717797" u="1"/>
        <s v="G0974686" u="1"/>
        <s v="G0257794" u="1"/>
        <s v="G1777930" u="1"/>
        <s v="G2297250" u="1"/>
        <s v="G0361251" u="1"/>
        <s v="G0897230" u="1"/>
        <s v="G1680228" u="1"/>
        <s v="G2366684" u="1"/>
        <s v="G0240363" u="1"/>
        <s v="G0380320" u="1"/>
        <s v="G0778014" u="1"/>
        <s v="G1001030" u="1"/>
        <s v="G1684767" u="1"/>
        <s v="G2114035" u="1"/>
        <s v="G2429126" u="1"/>
        <s v="G0295287" u="1"/>
        <s v="G1003496" u="1"/>
        <s v="G1658313" u="1"/>
        <s v="G2094005" u="1"/>
        <s v="G2334746" u="1"/>
        <s v="G0380140" u="1"/>
        <s v="G2244640" u="1"/>
        <s v="G2256738" u="1"/>
        <s v="G2179976" u="1"/>
        <s v="G2404267" u="1"/>
        <s v="G0707861" u="1"/>
        <s v="G1035156" u="1"/>
        <s v="G2238578" u="1"/>
        <s v="G0758210" u="1"/>
        <s v="G1406021" u="1"/>
        <s v="G1737736" u="1"/>
        <s v="G0386086" u="1"/>
        <s v="G0524024" u="1"/>
        <s v="G2260377" u="1"/>
        <s v="G0777983" u="1"/>
        <s v="G0878787" u="1"/>
        <s v="G0331912" u="1"/>
        <s v="G0344390" u="1"/>
        <s v="G0540622" u="1"/>
        <s v="G0913357" u="1"/>
        <s v="G0967282" u="1"/>
        <s v="G2430548" u="1"/>
        <s v="G0409352" u="1"/>
        <s v="G0409447" u="1"/>
        <s v="G0786451" u="1"/>
        <s v="G1698621" u="1"/>
        <s v="G1957524" u="1"/>
        <s v="G2089088" u="1"/>
        <s v="G0360988" u="1"/>
        <s v="G0671630" u="1"/>
        <s v="G0831162" u="1"/>
        <s v="G2412131" u="1"/>
        <s v="G2235528" u="1"/>
        <s v="G0345057" u="1"/>
        <s v="G0398453" u="1"/>
        <s v="G0240757" u="1"/>
        <s v="G0762223" u="1"/>
        <s v="G2279589" u="1"/>
        <s v="G0371734" u="1"/>
        <s v="G2221788" u="1"/>
        <s v="G2280909" u="1"/>
        <s v="G0308272" u="1"/>
        <s v="G2269448" u="1"/>
        <s v="G0389488" u="1"/>
        <s v="G1090610" u="1"/>
        <s v="G2369813" u="1"/>
        <s v="G0425574" u="1"/>
        <s v="G1919829" u="1"/>
        <s v="G2063031" u="1"/>
        <s v="G1550790" u="1"/>
        <s v="G2279563" u="1"/>
        <s v="G0327382" u="1"/>
        <s v="G0336097" u="1"/>
        <s v="G0656266" u="1"/>
        <s v="G2220367" u="1"/>
        <s v="G0608678" u="1"/>
        <s v="G1567077" u="1"/>
        <s v="G1609775" u="1"/>
        <s v="G0662063" u="1"/>
        <s v="G1579509" u="1"/>
        <s v="G0923982" u="1"/>
        <s v="G1235686" u="1"/>
        <s v="G1614917" u="1"/>
        <s v="G1965007" u="1"/>
        <s v="G0303134" u="1"/>
        <s v="G0435293" u="1"/>
        <s v="G0566504" u="1"/>
        <s v="G0516874" u="1"/>
        <s v="G0869227" u="1"/>
        <s v="G0901807" u="1"/>
        <s v="G1386716" u="1"/>
        <s v="G1651853" u="1"/>
        <s v="G2045811" u="1"/>
        <s v="G1888345" u="1"/>
        <s v="G0653368" u="1"/>
        <s v="G0829586" u="1"/>
        <s v="G0345721" u="1"/>
        <s v="G0528851" u="1"/>
        <s v="G0642179" u="1"/>
        <s v="G0776064" u="1"/>
        <s v="G0913982" u="1"/>
        <s v="G1831949" u="1"/>
        <s v="G0280278" u="1"/>
        <s v="G0398816" u="1"/>
        <s v="G1793790" u="1"/>
        <s v="G2257174" u="1"/>
        <s v="G1962610" u="1"/>
        <s v="G0879231" u="1"/>
        <s v="G1536808" u="1"/>
        <s v="G1755307" u="1"/>
        <s v="G2374530" u="1"/>
        <s v="G0271316" u="1"/>
        <s v="G0763606" u="1"/>
        <s v="G2122269" u="1"/>
        <s v="G2231840" u="1"/>
        <s v="G0312434" u="1"/>
        <s v="G0769005" u="1"/>
        <s v="G2281899" u="1"/>
        <s v="G2273497" u="1"/>
        <s v="G1165511" u="1"/>
        <s v="G1243596" u="1"/>
        <s v="G0575408" u="1"/>
        <s v="G1849926" u="1"/>
        <s v="G1982976" u="1"/>
        <s v="G2389687" u="1"/>
        <s v="G0394924" u="1"/>
        <s v="G2169225" u="1"/>
        <s v="G0602766" u="1"/>
        <s v="G0846296" u="1"/>
        <s v="G0417756" u="1"/>
        <s v="G0643131" u="1"/>
        <s v="G2315421" u="1"/>
        <s v="G0751664" u="1"/>
        <s v="G0825868" u="1"/>
        <s v="G1034749" u="1"/>
        <s v="G1601137" u="1"/>
        <s v="G1973564" u="1"/>
        <s v="G0812971" u="1"/>
        <s v="G2192370" u="1"/>
        <s v="G1567946" u="1"/>
      </sharedItems>
    </cacheField>
    <cacheField name="Name" numFmtId="0">
      <sharedItems count="297">
        <s v="XXX"/>
        <s v="ERGO HANDLERS" u="1"/>
        <s v="ASHLAND INDIA PVT. LTD." u="1"/>
        <s v="JOHNSON &amp; JOHNSON PVT. LTD." u="1"/>
        <s v="WRIGLEY INDIA PRIVATE LTD FACR" u="1"/>
        <s v="STRYKER INDIA PRIVATE LIMITED" u="1"/>
        <s v="VIDEOJET TECHNOLOGIES (I) PVT" u="1"/>
        <s v="B2X SERVICE SOLUTIONS INDIA PV" u="1"/>
        <s v="CONTINENTAL AUTOMOTIVE COMPONE" u="1"/>
        <s v="GOODYEAR SOUTH ASIA TYRES PVT." u="1"/>
        <s v="3M INDIA LIMITED" u="1"/>
        <s v="GRINDWELL NORTON LTD." u="1"/>
        <s v="INVESTMENT &amp; PRECISION CASTING" u="1"/>
        <s v="CHEMTROLS INDUSTRIES LTD." u="1"/>
        <s v="NATIONAL INST OF REASEARCH IN" u="1"/>
        <s v="HONEYWELL INTERNATIONAL (I) PV" u="1"/>
        <s v="IIT BOMBAY INDIAN INSTITUTE OF" u="1"/>
        <s v="S&amp;S MEDI-EQUIPMENTS" u="1"/>
        <s v="NILKANTH TECH PARK PVT" u="1"/>
        <s v="BHR DIAGNOSTICS PVT LTD" u="1"/>
        <s v="DHL LOGISTICS PVT FTWZ UNIT" u="1"/>
        <s v="FLAMINGO PHARMACEUTICALS LTD" u="1"/>
        <s v="VARIAN MEDICAL SYSTEMS INTL(I)" u="1"/>
        <s v="IB SCIENTIFIC" u="1"/>
        <s v="RELIANCE TELECOM LIMITED" u="1"/>
        <s v="MAFATLAL INDUSTRIES LIMITED" u="1"/>
        <s v="MONSANTO HOLDINGS PVT LTD" u="1"/>
        <s v="TECNIK FLUID CONTROLS PVT LTD" u="1"/>
        <s v="ABBOTT MEDICAL OPTICS PVT. LTD" u="1"/>
        <s v="CUMMINS TECHNOLOGIES INDIA LTD" u="1"/>
        <s v="ELCOME INTEGRATED SYSTEMS PVT." u="1"/>
        <s v="TELEFLEX MEDICAL PRIVATE LIMIT" u="1"/>
        <s v="CISCO SYSTEM (I) PVT LTD." u="1"/>
        <s v="HETTICH INDIA PRIVATE LIMITED" u="1"/>
        <s v="EATON INDUSTRIAL SYSTEM PVT. L" u="1"/>
        <s v="JOHNSON &amp; JOHNSON P LTD" u="1"/>
        <s v="CARRIER RACE TECHNOLOGIES PVT." u="1"/>
        <s v="BANSAL AGENCY" u="1"/>
        <s v="EXIDE INDUSTRIES LTD" u="1"/>
        <s v="HINDUSTAN COATINGS PVT. LTD." u="1"/>
        <s v="CNH INDUSTRIAL (INDIA) PVT. LT" u="1"/>
        <s v="PHILIPS  INDIA LTD" u="1"/>
        <s v="ORTHO CLINICAL DIAGNOSTICS (I)" u="1"/>
        <s v="RELIANCE RETAIL LIMITED" u="1"/>
        <s v="SUD-CHEMIE INDIA PVT. LTD" u="1"/>
        <s v="FOREVERMARK DIAMONDS PVT LTD" u="1"/>
        <s v="SITEC LABS PVT.LTD" u="1"/>
        <s v="MAHLE ENGINE COMPONENTS INDIA" u="1"/>
        <s v="ARMACELL INDIA PVT. LTD." u="1"/>
        <s v="SEAL FOR LIFE INDIA PRIVATE LI" u="1"/>
        <s v="ANITA MEDICAL SYSTEMS" u="1"/>
        <s v="CUMMINS INDIA LIMITED" u="1"/>
        <s v="SCIMAGMA LABS PVT. LTD." u="1"/>
        <s v="INTAS PHARMACEUTICALS LTD" u="1"/>
        <s v="COOPER STANDARD INDIA PVT LTD." u="1"/>
        <s v="ERGO SYSTEMS" u="1"/>
        <s v="SHOGINI TECHNOARTS PVT LTD" u="1"/>
        <s v="AIR WORKS INDIA(ENGG) PVT LTD" u="1"/>
        <s v="LUPIN LIMITED" u="1"/>
        <s v="GE POWER INDIA LTD" u="1"/>
        <s v="A.S. CONTROLS PVT LTD" u="1"/>
        <s v="GE INDIA INDUSTRIAL PVT LTD" u="1"/>
        <s v="INDOCO REMEDIES LTD TOOLS IV" u="1"/>
        <s v="CUMMINS TECHNOLOGIES INDIA PRI" u="1"/>
        <s v="ELECTRIC CONTROLS COMPANY" u="1"/>
        <s v="AVNET TECHNOLOGY SOLUTIONS (IN" u="1"/>
        <s v="PHOENIX MECANO INDIA PVT LTD-1" u="1"/>
        <s v="RONAK ENTERPRISES" u="1"/>
        <s v="AVDEL INDIA PVT. LTD." u="1"/>
        <s v="SHRENO LIMITED (UNIT 2)" u="1"/>
        <s v="SONAK ENGINEERING PVT LTD" u="1"/>
        <s v="VE COMMERCIAL VEHICLE LTD" u="1"/>
        <s v="SMITHS MEDICAL INDIA PVT LTD" u="1"/>
        <s v="RAJKAMAL BAR SCAN SYSTEM PVT." u="1"/>
        <s v="ANDREW TELECOMMUNICATIONS INDI" u="1"/>
        <s v="TARAADI" u="1"/>
        <s v="CHEMISTIK PRIVATE LTD" u="1"/>
        <s v="GIVAUDAN INDIA PVT LTD" u="1"/>
        <s v="SELEC CONTROLS PVT LTD," u="1"/>
        <s v="AVGOL INDIA PRIVATE LIMITED" u="1"/>
        <s v="PENTAIR WATER INDIA PVT LTD" u="1"/>
        <s v="GE INDIA INDUSTRIAL PVT. LTD" u="1"/>
        <s v="GUJARAT ALKALIES AND CHEMICALS" u="1"/>
        <s v="RELIANCE UTILITIES AND POWER P" u="1"/>
        <s v="SCHLUMBERGER ASIA SERVICES LTD" u="1"/>
        <s v="3M INDIA LTD." u="1"/>
        <s v="RELIANCE INDUSTRIES" u="1"/>
        <s v="SIGMA ELECTRIC MFG. CORP. PVT." u="1"/>
        <s v="POLYONE POLYMERS INDIA PVT LTD" u="1"/>
        <s v="RENISHAW METROLOGY SYSTEMS LIM" u="1"/>
        <s v="SRF LIMITED (PFB)" u="1"/>
        <s v="ECLIPSE COMBUSTION PVT LTD" u="1"/>
        <s v="ADVANCE SYS-TEK PRIVATE LIMITE" u="1"/>
        <s v="AMAZON INTERNET SERVICES PVT L" u="1"/>
        <s v="CONNECTEM SOFTWARE SYSTEMS PVT" u="1"/>
        <s v="ULTRA ENGINEERS" u="1"/>
        <s v="THERMOFISHER SCI PVT LTD" u="1"/>
        <s v="FLUKE TECHNOLOGIES PVT. LTD." u="1"/>
        <s v="RELIANCE JIO INFOCOMM LIMITED" u="1"/>
        <s v="TATA CONSULTANCY SERVICES LTD" u="1"/>
        <s v="AUTONICS AUTOMATION INDIA PVT." u="1"/>
        <s v="KSPG AUTOMOTIVE INDIA PVT. LTD" u="1"/>
        <s v="RAYMOND LIMITED (AVIATION DIVI" u="1"/>
        <s v="CADILA HEALTHCARE LIMITED" u="1"/>
        <s v="HONEYWELL INTERNATIONAL INDIA" u="1"/>
        <s v="PROJECT REVOLT LLP" u="1"/>
        <s v="AGS TRANSACT TECHNOLOGIES LTD" u="1"/>
        <s v="COGNIZANT TECHNOLOGY SOLUTIONS" u="1"/>
        <s v="DRESSER-RAND INDIA PVT. LTD." u="1"/>
        <s v="RENAISSANCE SOFTECH PVT. LTD." u="1"/>
        <s v="PHOENIX MECANO INDIA PVT LTD-D" u="1"/>
        <s v="BAXTER (INDIA)PVT.LTD." u="1"/>
        <s v="VALUETREE INDIA PVT LTD" u="1"/>
        <s v="EAGLEBURGMANN INDIA P LTD" u="1"/>
        <s v="INSPIRA ENTERPRISE INDIA PVT." u="1"/>
        <s v="HOERBIGER INDIA SERIAL TECHNOL" u="1"/>
        <s v="ORANGE BUSINESS SERVICES INDIA" u="1"/>
        <s v="TRIAGE SYSTEMS" u="1"/>
        <s v="B.T. INFOSYS PVT. LTD" u="1"/>
        <s v="TATA COMMUNICATIONS LIMITED" u="1"/>
        <s v="ADVANCE POWER DISPLAY SYSTEMS" u="1"/>
        <s v="SERUM INSTITUTE OF INDIA PVT." u="1"/>
        <s v="SIGNET CHEMICAL CORPORATION PV" u="1"/>
        <s v="DIMENSION DATA INDIA PVT LTD" u="1"/>
        <s v="AVERY DENNISON (INDIA) PVT LTD" u="1"/>
        <s v="SYNTEL TELECOM LIMITED( TELECO" u="1"/>
        <s v="INTORQ INDIA PRIVATE LIMITED" u="1"/>
        <s v="WATSON PHARMA PRIVATE LIMITED" u="1"/>
        <s v="WORKRITE" u="1"/>
        <s v="ORION INFOTECH" u="1"/>
        <s v="TRAVANCORE TRADE LINKS" u="1"/>
        <s v="UPS SCS INDIA PVT. LTD" u="1"/>
        <s v="LITENS AUTOMOTIVE INDIA PVT LT" u="1"/>
        <s v="CLARKE ENERGY INDIA PRIVATE LI" u="1"/>
        <s v="NELSON GLOBAL PRODUCTS INDIA P" u="1"/>
        <s v="HERMES ELECTRONICS PVT LTD" u="1"/>
        <s v="PHILIPS LIGHTING INDIA LTD" u="1"/>
        <s v="SERUM INSTITUTE OF INDIA LTD" u="1"/>
        <s v="3M ELECTRO &amp; COMMUNICATION IND" u="1"/>
        <s v="AMPHENOL INTERCONNECT INDIA PV" u="1"/>
        <s v="AMWAY INDIA ENTERPRISES PVT LT" u="1"/>
        <s v="ELUMATEC INDIA PRIVATE LIMITED" u="1"/>
        <s v="GUJARAT ALKALIES &amp; CHEMICALS L" u="1"/>
        <s v="ACTUANT INDIA PVT LTD" u="1"/>
        <s v="ETERNITY LIFESTYLES PVT LTD" u="1"/>
        <s v="ST JUDE MEDICAL INDIA PVT LTD" u="1"/>
        <s v="INDUS HEALTHCARE" u="1"/>
        <s v="WEBASTO ROOFSYSTEMS INDIA P LT" u="1"/>
        <s v="ULTRA ENGINEERS - UNIT - VI" u="1"/>
        <s v="SPECTRA CONNECTRONICS PVT LTD" u="1"/>
        <s v="SABIC INNOVATIVE PLASTICS INDI" u="1"/>
        <s v="TECHNICOAT INDIA PRIVATE LIMIT" u="1"/>
        <s v="NEWDEV SARL" u="1"/>
        <s v="MARKSS INFOTECH LTD" u="1"/>
        <s v="NOVARTIS HEALTHCARE PVT LTD" u="1"/>
        <s v="SUN PHARMACEUTICAL INDUSTRIES" u="1"/>
        <s v="DIVGI TORQTRANSFER SYSTEMS PVT" u="1"/>
        <s v="FORBO-SIEGLING MOVEMENT SYSTEM" u="1"/>
        <s v="STANLEY BLACK &amp; DECKER INDIA P" u="1"/>
        <s v="TATA AIG GENERAL INSURANCE COM" u="1"/>
        <s v="TATA MEMORIAL CENTRE" u="1"/>
        <s v="ASTRAL POLY-TECHNIK LTD" u="1"/>
        <s v="BHOTIKA TRADE &amp; SERVICE PVT. L" u="1"/>
        <s v="BAUSCH &amp; LOMB INDIA PVT. LTD" u="1"/>
        <s v="BERICAP INDIA PRIVATE LIMITED" u="1"/>
        <s v="RELIANCE CORPORATE IT PARK LIM" u="1"/>
        <s v="D-LINK (INDIA) LTD" u="1"/>
        <s v="AVCON TECHNICS PVT. LTD." u="1"/>
        <s v="JET AIRWAYS (INDIA) LIMITED" u="1"/>
        <s v="DYNABRADE INDIA ABRASIVE POWER" u="1"/>
        <s v="STATE STREET SYNTEL SERVICES P" u="1"/>
        <s v="AVAC SYSTEMS" u="1"/>
        <s v="INTAS PHARMACEUTICAL LTD." u="1"/>
        <s v="EXL SERVICE.COM (I) PVT. LTD" u="1"/>
        <s v="DETECTION INSTRUMENTS (INDIA)" u="1"/>
        <s v="FERROMATIK MILACRON INDIA PVT" u="1"/>
        <s v="ANACON PROCESS CONTROL PVT LTD" u="1"/>
        <s v="HONEYWELL TURBO TECHNOLOGIES I" u="1"/>
        <s v="ZOBELE INDIA PRIVATE LIMITED" u="1"/>
        <s v="DIEBOLD SYSTEMS PRIVATE LIMITE" u="1"/>
        <s v="HONEYWELL INTERNATIONAL (INDIA" u="1"/>
        <s v="KUEBLER AUTOMATION INDIA PVT L" u="1"/>
        <s v="UNI-CARD ENTERPRISES" u="1"/>
        <s v="SUASHISH DIAMONDS LTD" u="1"/>
        <s v="FLUID CONTROLS PVT LTD" u="1"/>
        <s v="M SURESH JEWELLERY PVT LTD" u="1"/>
        <s v="ASB INTERNATIONAL PVT. LTD." u="1"/>
        <s v="RELIANCE INDUSTRIES LIMITED" u="1"/>
        <s v="SEW-EURODRIVE INDIA PVT LTD" u="1"/>
        <s v="PHILLIPS CARBON BLACK LIMITED" u="1"/>
        <s v="JOHNSON CONTROLS MARINE &amp; REFR" u="1"/>
        <s v="BLOOM ENERGY (IN)" u="1"/>
        <s v="ANCHOR OFFSHORE SERVICES" u="1"/>
        <s v="VARROC ENGINEERING PVT LTD" u="1"/>
        <s v="CONCENTRIC PUMPS PUNE PRIVATE" u="1"/>
        <s v="AERIES TECHNOLOGY SOLUTIONS PV" u="1"/>
        <s v="EATON INDUSTRIAL SYSTEMS PVT L" u="1"/>
        <s v="EMITEC EMISSION CONTROL TECHNO" u="1"/>
        <s v="SAINT-GOBAIN INDIA PRIVATE LIM" u="1"/>
        <s v="INTELLICON PRIVATE LIMITED" u="1"/>
        <s v="BOROSIL GLASS WORKS LIMITED" u="1"/>
        <s v="DHR HOLDING INDIA PRIVATE LIMI" u="1"/>
        <s v="TAL MANUFACTURING SOLUTIONS LI" u="1"/>
        <s v="PHILIPS INDIA LTD" u="1"/>
        <s v="CARRIER AIR CONDITIONING &amp; REF" u="1"/>
        <s v="CUMMINS PARTS DISTRIBUTION CEN" u="1"/>
        <s v="PENTAIR WATER TREATMENT PVT LT" u="1"/>
        <s v="ROBERTSHAW CONTROLS PRIVATE LI" u="1"/>
        <s v="SERUM INSTITUTE OF INDIA PRIVA" u="1"/>
        <s v="DIEBOLD SYSTEMS PVT LTD" u="1"/>
        <s v="TATA CUMMINS PRIVATE LIMITED" u="1"/>
        <s v="IDEX FLUID &amp; METERING PVT. LTD" u="1"/>
        <s v="MARTIN ENGINEERING COMPANY IND" u="1"/>
        <s v="PHILIPS LIGHTING INDIA LIMITED" u="1"/>
        <s v="APP PUMPS ENGINEERING CO" u="1"/>
        <s v="KRIS AUTOMATED PACKAGING SYSTE" u="1"/>
        <s v="TECNIK FLUID CONTROLS" u="1"/>
        <s v="PATVIN ENGINEERING PVT LTD." u="1"/>
        <s v="FIAT INDIA AUTOMOBILES PRIVATE" u="1"/>
        <s v="HI-TECH ENGINEERING" u="1"/>
        <s v="HALCYON TECHNOLOGIES" u="1"/>
        <s v="CURTIS INSTRUMENTS INDIA PVT T" u="1"/>
        <s v="PARKER HANNIFIN INDIA PVT. LTD" u="1"/>
        <s v="DONALDSON INDIA FILTER SYSTEMS" u="1"/>
        <s v="INGRAM MICRO INDIA PRIVATE LIM" u="1"/>
        <s v="GAP INC." u="1"/>
        <s v="TUSHACO PUMPS PVT. LTD." u="1"/>
        <s v="MCAFEE INDIA SALES PVT LTD" u="1"/>
        <s v="CASE NEW HOLLAND CONSTRUCTION" u="1"/>
        <s v="BANNER INDIA" u="1"/>
        <s v="3D FUTURE TECHNOLOGIES" u="1"/>
        <s v="A. SCHULMAN PLASTICS INDIA PVT" u="1"/>
        <s v="BOMBAY FLUID SYSTEM COMPONENTS" u="1"/>
        <s v="NVIDIA GRAPHICS PVT LTD." u="1"/>
        <s v="BALAJI SOLUTIONS PVT. LTD" u="1"/>
        <s v="API HEAT TRANSFER INDIA PVT LT" u="1"/>
        <s v="PORTESCAP INDIA PVT. LTD (STEP" u="1"/>
        <s v="RANE RAO RESHAMIA LABORATORIES" u="1"/>
        <s v="SALASAR ALLOY AND STEEL INDUST" u="1"/>
        <s v="VACMET INDIA LTD" u="1"/>
        <s v="AADHEESH TEXFAB PVT LTD" u="1"/>
        <s v="RELIANCE INDUSTRIES LTD" u="1"/>
        <s v="NELSON GLOBAL PRODUCTS INDIA" u="1"/>
        <s v="CUMMINS INDIA LIMITED-PSBU - D" u="1"/>
        <s v="CUMMINS TECHNOLOGIES INDIA PVT" u="1"/>
        <s v="MADHU SUBTRONIC COMPONENTS PVT" u="1"/>
        <s v="BSL LTD" u="1"/>
        <s v="EUCHNER (INDIA) PVT.LTD." u="1"/>
        <s v="GUJARAT FLUOROCHEMICALS LTD." u="1"/>
        <s v="NETPLACE TECHNOLOGIES PVT LTD" u="1"/>
        <s v="SHREE LALITA" u="1"/>
        <s v="TATA MOTORS LIMITED" u="1"/>
        <s v="DIEHL METAL INDIA PVT. LTD." u="1"/>
        <s v="ETCO DENIM PVT LTD" u="1"/>
        <s v="CASE NH INDIA PVT LTD" u="1"/>
        <s v="ANACON PROCESS CONTROL PVT.LTD" u="1"/>
        <s v="ORCHID INDIA MEDISOLUTIONS PVT" u="1"/>
        <s v="WILLIAMS CONTROLS INDIA PVT.LT" u="1"/>
        <s v="HONEYWELL TECHNOLOGIES SARL" u="1"/>
        <s v="OPTIMAS OE SOLUTIONS INDIA PVT" u="1"/>
        <s v="ARVIND LTD" u="1"/>
        <s v="CIPLA LIMITED" u="1"/>
        <s v="HOERBIGER INDIA PVT LTD" u="1"/>
        <s v="DYNAMIC FORGE &amp; FITTINGS (I) P" u="1"/>
        <s v="FREUDENBERG FILTRATION TECHNOL" u="1"/>
        <s v="HONEYWELL AUTOMATION INDIA LTD" u="1"/>
        <s v="PHILIPS INDIA LIMITED" u="1"/>
        <s v="JINDAL POLY FILMS LTD." u="1"/>
        <s v="UNI DESIGN JEWELLERY PVT LTD" u="1"/>
        <s v="CISCO SYSTEM (INDIA)PRIVATE LI" u="1"/>
        <s v="JINDAL POLY FILMS LIMITED" u="1"/>
        <s v="HEMETEK TECHNO INST PVT LTD" u="1"/>
        <s v="FIRESTAR DIAMOND INTL PVT LTD" u="1"/>
        <s v="TAL MANUFACTURING SOLUTIONS LT" u="1"/>
        <s v="JOHNSON CONTROLS (I) PVT LTD" u="1"/>
        <s v="DESIGNTECH SYSTEMS PVT. LTD.," u="1"/>
        <s v="MATERIAL MANANGEMENT DIVISION" u="1"/>
        <s v="CUMMINS GENERATOR TECHNOLOGIES" u="1"/>
        <s v="EOS POWER INDIA PVT LTD" u="1"/>
        <s v="CIVITECH SERVICES PVT LTD" u="1"/>
        <s v="ACCURAMECH  INDUSTRIAL ENGINEE" u="1"/>
        <s v="EATON INDIA INNOVATION CENTER," u="1"/>
        <s v="EMERSON CLIMATE TECHNOLGIES IN" u="1"/>
        <s v="INGERSOLL RAND CLIMATE SOLUTIO" u="1"/>
        <s v="NORBAR TORQUE TOOLS INDIA PVT." u="1"/>
        <s v="WATSON PHARMA PVT LTD, UNIT IV" u="1"/>
        <s v="AJ HEALTH CARE" u="1"/>
        <s v="EATON FLUID POWER LIMITED" u="1"/>
        <s v="INGERSOLL RAND (INDIA) LTD." u="1"/>
        <s v="LEONI CABLE SOLUTIONS (INDIA)" u="1"/>
        <s v="AUTOMATIC DATA SOLUTIONS &amp; TEC" u="1"/>
        <s v="SENSIENT INDIA PRIVATE LIMITED" u="1"/>
        <s v="CUMMINS INDIA LTD" u="1"/>
        <s v="INOX INDIA P. LTD." u="1"/>
        <s v="CADILA HEALTHCARE LTD" u="1"/>
        <s v="JOHNSON &amp; JOHNSON LTD" u="1"/>
        <s v="ULTRA ENGINEERS UNIT IV" u="1"/>
      </sharedItems>
    </cacheField>
    <cacheField name="Credit limit" numFmtId="0">
      <sharedItems containsMixedTypes="1" containsNumber="1" containsInteger="1" minValue="0" maxValue="25000000" count="45">
        <n v="50000"/>
        <n v="500000"/>
        <n v="0"/>
        <n v="100000"/>
        <n v="20000000"/>
        <n v="2300000"/>
        <n v="1300000"/>
        <n v="300000"/>
        <n v="1480000"/>
        <n v="600000"/>
        <n v="20000"/>
        <n v="950000"/>
        <n v="550000"/>
        <n v="1500000"/>
        <n v="200000"/>
        <e v="#N/A"/>
        <n v="1000000"/>
        <n v="700000"/>
        <n v="442000"/>
        <n v="175000"/>
        <n v="2700000"/>
        <n v="7500000"/>
        <n v="480000"/>
        <n v="2000000"/>
        <n v="2100000"/>
        <n v="1540000"/>
        <n v="5000000"/>
        <n v="75000"/>
        <n v="25000000"/>
        <n v="3377500"/>
        <n v="125000"/>
        <n v="1900000" u="1"/>
        <n v="3500000" u="1"/>
        <n v="450000" u="1"/>
        <n v="400000" u="1"/>
        <n v="1100000" u="1"/>
        <n v="250000" u="1"/>
        <n v="225000" u="1"/>
        <n v="750000" u="1"/>
        <n v="1600000" u="1"/>
        <n v="2500000" u="1"/>
        <n v="150000" u="1"/>
        <n v="1200000" u="1"/>
        <n v="80000" u="1"/>
        <n v="800000" u="1"/>
      </sharedItems>
    </cacheField>
    <cacheField name="Balance" numFmtId="38">
      <sharedItems containsSemiMixedTypes="0" containsString="0" containsNumber="1" minValue="0.4" maxValue="9784"/>
    </cacheField>
    <cacheField name="30 Days" numFmtId="38">
      <sharedItems containsSemiMixedTypes="0" containsString="0" containsNumber="1" containsInteger="1" minValue="0" maxValue="9784"/>
    </cacheField>
    <cacheField name="31-45 Days" numFmtId="38">
      <sharedItems containsSemiMixedTypes="0" containsString="0" containsNumber="1" containsInteger="1" minValue="0" maxValue="9740"/>
    </cacheField>
    <cacheField name="46-60 Days" numFmtId="38">
      <sharedItems containsSemiMixedTypes="0" containsString="0" containsNumber="1" containsInteger="1" minValue="0" maxValue="9750"/>
    </cacheField>
    <cacheField name="61-90 Days" numFmtId="38">
      <sharedItems containsSemiMixedTypes="0" containsString="0" containsNumber="1" containsInteger="1" minValue="0" maxValue="9735"/>
    </cacheField>
    <cacheField name="91-120 Days" numFmtId="38">
      <sharedItems containsSemiMixedTypes="0" containsString="0" containsNumber="1" minValue="0" maxValue="9631"/>
    </cacheField>
    <cacheField name="&gt;120 Days" numFmtId="38">
      <sharedItems containsSemiMixedTypes="0" containsString="0" containsNumber="1" minValue="0" maxValue="9552"/>
    </cacheField>
    <cacheField name="&gt;60 Days" numFmtId="38">
      <sharedItems containsSemiMixedTypes="0" containsString="0" containsNumber="1" minValue="0" maxValue="9735"/>
    </cacheField>
    <cacheField name="Days" numFmtId="1">
      <sharedItems containsSemiMixedTypes="0" containsString="0" containsNumber="1" containsInteger="1" minValue="15" maxValue="363"/>
    </cacheField>
    <cacheField name="Ageing" numFmtId="0">
      <sharedItems/>
    </cacheField>
    <cacheField name="Ar Date" numFmtId="15">
      <sharedItems containsSemiMixedTypes="0" containsNonDate="0" containsDate="1" containsString="0" minDate="2017-04-30T00:00:00" maxDate="2017-05-01T00:00:00"/>
    </cacheField>
    <cacheField name="Dept" numFmtId="0">
      <sharedItems/>
    </cacheField>
    <cacheField name="Foreign Balance" numFmtId="0">
      <sharedItems containsString="0" containsBlank="1" containsNumber="1" minValue="110.96" maxValue="140.9"/>
    </cacheField>
    <cacheField name="Foreign Currency" numFmtId="0">
      <sharedItems containsBlank="1"/>
    </cacheField>
    <cacheField name="Tax Invoice" numFmtId="0">
      <sharedItems containsNonDate="0" containsString="0" containsBlank="1"/>
    </cacheField>
    <cacheField name="EDI Status" numFmtId="0">
      <sharedItems containsBlank="1"/>
    </cacheField>
    <cacheField name="Last EDI Status Date" numFmtId="0">
      <sharedItems containsNonDate="0" containsDate="1" containsString="0" containsBlank="1" minDate="2017-01-25T00:00:00" maxDate="2017-04-15T00:00:00"/>
    </cacheField>
    <cacheField name="Last EDI Status Reason" numFmtId="0">
      <sharedItems containsBlank="1"/>
    </cacheField>
    <cacheField name="HBL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82">
  <r>
    <s v="E2C1101719"/>
    <d v="2016-12-31T00:00:00"/>
    <s v="22C0307155"/>
    <x v="0"/>
    <x v="0"/>
    <x v="0"/>
    <n v="0.4"/>
    <n v="0"/>
    <n v="0"/>
    <n v="0"/>
    <n v="0"/>
    <n v="0.4"/>
    <n v="0"/>
    <n v="0.4"/>
    <n v="120"/>
    <s v="91 To 120 Days"/>
    <d v="2017-04-30T00:00:00"/>
    <s v="AI"/>
    <m/>
    <m/>
    <m/>
    <m/>
    <m/>
    <m/>
    <s v="413778523"/>
  </r>
  <r>
    <s v="E2C1100663"/>
    <d v="2016-12-29T00:00:00"/>
    <s v="22C0307294"/>
    <x v="1"/>
    <x v="0"/>
    <x v="1"/>
    <n v="12.52"/>
    <n v="0"/>
    <n v="0"/>
    <n v="0"/>
    <n v="0"/>
    <n v="0"/>
    <n v="12.52"/>
    <n v="12.52"/>
    <n v="122"/>
    <s v="Plus120Days"/>
    <d v="2017-04-30T00:00:00"/>
    <s v="AI"/>
    <m/>
    <m/>
    <m/>
    <m/>
    <m/>
    <m/>
    <s v="4750382397"/>
  </r>
  <r>
    <s v="E2C1017500"/>
    <d v="2016-05-10T00:00:00"/>
    <s v="22C0285114"/>
    <x v="2"/>
    <x v="0"/>
    <x v="2"/>
    <n v="34"/>
    <n v="0"/>
    <n v="0"/>
    <n v="0"/>
    <n v="0"/>
    <n v="0"/>
    <n v="34"/>
    <n v="34"/>
    <n v="355"/>
    <s v="Plus120Days"/>
    <d v="2017-04-30T00:00:00"/>
    <s v="AI"/>
    <m/>
    <m/>
    <m/>
    <m/>
    <m/>
    <m/>
    <s v="423607358"/>
  </r>
  <r>
    <s v="E2C1015636"/>
    <d v="2016-05-04T00:00:00"/>
    <s v="22C0284447"/>
    <x v="2"/>
    <x v="0"/>
    <x v="2"/>
    <n v="34"/>
    <n v="0"/>
    <n v="0"/>
    <n v="0"/>
    <n v="0"/>
    <n v="0"/>
    <n v="34"/>
    <n v="34"/>
    <n v="361"/>
    <s v="Plus120Days"/>
    <d v="2017-04-30T00:00:00"/>
    <s v="AI"/>
    <m/>
    <m/>
    <m/>
    <m/>
    <m/>
    <m/>
    <s v="4540122913"/>
  </r>
  <r>
    <s v="E2C1016630"/>
    <d v="2016-05-06T00:00:00"/>
    <s v="22C0284445"/>
    <x v="2"/>
    <x v="0"/>
    <x v="2"/>
    <n v="34"/>
    <n v="0"/>
    <n v="0"/>
    <n v="0"/>
    <n v="0"/>
    <n v="0"/>
    <n v="34"/>
    <n v="34"/>
    <n v="359"/>
    <s v="Plus120Days"/>
    <d v="2017-04-30T00:00:00"/>
    <s v="AI"/>
    <m/>
    <m/>
    <m/>
    <m/>
    <m/>
    <m/>
    <s v="423607305"/>
  </r>
  <r>
    <s v="E2C1017502"/>
    <d v="2016-05-10T00:00:00"/>
    <s v="22C0285115"/>
    <x v="2"/>
    <x v="0"/>
    <x v="2"/>
    <n v="34"/>
    <n v="0"/>
    <n v="0"/>
    <n v="0"/>
    <n v="0"/>
    <n v="0"/>
    <n v="34"/>
    <n v="34"/>
    <n v="355"/>
    <s v="Plus120Days"/>
    <d v="2017-04-30T00:00:00"/>
    <s v="AI"/>
    <m/>
    <m/>
    <m/>
    <m/>
    <m/>
    <m/>
    <s v="423607363"/>
  </r>
  <r>
    <s v="E2C1017816"/>
    <d v="2016-05-10T00:00:00"/>
    <s v="22C0285112"/>
    <x v="2"/>
    <x v="0"/>
    <x v="2"/>
    <n v="34"/>
    <n v="0"/>
    <n v="0"/>
    <n v="0"/>
    <n v="0"/>
    <n v="0"/>
    <n v="34"/>
    <n v="34"/>
    <n v="355"/>
    <s v="Plus120Days"/>
    <d v="2017-04-30T00:00:00"/>
    <s v="AI"/>
    <m/>
    <m/>
    <m/>
    <m/>
    <m/>
    <m/>
    <s v="423607351"/>
  </r>
  <r>
    <s v="E2C1019666"/>
    <d v="2016-05-17T00:00:00"/>
    <s v="22C0285855"/>
    <x v="2"/>
    <x v="0"/>
    <x v="2"/>
    <n v="34"/>
    <n v="0"/>
    <n v="0"/>
    <n v="0"/>
    <n v="0"/>
    <n v="0"/>
    <n v="34"/>
    <n v="34"/>
    <n v="348"/>
    <s v="Plus120Days"/>
    <d v="2017-04-30T00:00:00"/>
    <s v="AI"/>
    <m/>
    <m/>
    <m/>
    <m/>
    <m/>
    <m/>
    <s v="423607394"/>
  </r>
  <r>
    <s v="E2C1020645"/>
    <d v="2016-05-19T00:00:00"/>
    <s v="22C0285847"/>
    <x v="2"/>
    <x v="0"/>
    <x v="2"/>
    <n v="34"/>
    <n v="0"/>
    <n v="0"/>
    <n v="0"/>
    <n v="0"/>
    <n v="0"/>
    <n v="34"/>
    <n v="34"/>
    <n v="346"/>
    <s v="Plus120Days"/>
    <d v="2017-04-30T00:00:00"/>
    <s v="AI"/>
    <m/>
    <m/>
    <m/>
    <m/>
    <m/>
    <m/>
    <s v="423607379"/>
  </r>
  <r>
    <s v="E2C1021247"/>
    <d v="2016-05-20T00:00:00"/>
    <s v="22C0285573"/>
    <x v="2"/>
    <x v="0"/>
    <x v="2"/>
    <n v="34"/>
    <n v="0"/>
    <n v="0"/>
    <n v="0"/>
    <n v="0"/>
    <n v="0"/>
    <n v="34"/>
    <n v="34"/>
    <n v="345"/>
    <s v="Plus120Days"/>
    <d v="2017-04-30T00:00:00"/>
    <s v="AI"/>
    <m/>
    <m/>
    <m/>
    <m/>
    <m/>
    <m/>
    <s v="4431541669"/>
  </r>
  <r>
    <s v="E2C1020647"/>
    <d v="2016-05-19T00:00:00"/>
    <s v="22C0285557"/>
    <x v="2"/>
    <x v="0"/>
    <x v="2"/>
    <n v="63"/>
    <n v="0"/>
    <n v="0"/>
    <n v="0"/>
    <n v="0"/>
    <n v="0"/>
    <n v="63"/>
    <n v="63"/>
    <n v="346"/>
    <s v="Plus120Days"/>
    <d v="2017-04-30T00:00:00"/>
    <s v="AI"/>
    <m/>
    <m/>
    <m/>
    <m/>
    <m/>
    <m/>
    <s v="4540123111"/>
  </r>
  <r>
    <s v="E2C1122919"/>
    <d v="2017-03-01T00:00:00"/>
    <s v="112906998"/>
    <x v="3"/>
    <x v="0"/>
    <x v="3"/>
    <n v="67"/>
    <n v="0"/>
    <n v="0"/>
    <n v="67"/>
    <n v="0"/>
    <n v="0"/>
    <n v="0"/>
    <n v="0"/>
    <n v="60"/>
    <s v="46 To 60 Days"/>
    <d v="2017-04-30T00:00:00"/>
    <s v="AI"/>
    <m/>
    <m/>
    <m/>
    <m/>
    <m/>
    <m/>
    <m/>
  </r>
  <r>
    <s v="E2C1019668"/>
    <d v="2016-05-17T00:00:00"/>
    <s v="22C0285920"/>
    <x v="2"/>
    <x v="0"/>
    <x v="2"/>
    <n v="68"/>
    <n v="0"/>
    <n v="0"/>
    <n v="0"/>
    <n v="0"/>
    <n v="0"/>
    <n v="68"/>
    <n v="68"/>
    <n v="348"/>
    <s v="Plus120Days"/>
    <d v="2017-04-30T00:00:00"/>
    <s v="AI"/>
    <m/>
    <m/>
    <m/>
    <m/>
    <m/>
    <m/>
    <s v="423607403"/>
  </r>
  <r>
    <s v="E2C1015610"/>
    <d v="2016-05-04T00:00:00"/>
    <s v="22C0284446"/>
    <x v="2"/>
    <x v="0"/>
    <x v="2"/>
    <n v="70"/>
    <n v="0"/>
    <n v="0"/>
    <n v="0"/>
    <n v="0"/>
    <n v="0"/>
    <n v="70"/>
    <n v="70"/>
    <n v="361"/>
    <s v="Plus120Days"/>
    <d v="2017-04-30T00:00:00"/>
    <s v="AI"/>
    <m/>
    <m/>
    <m/>
    <m/>
    <m/>
    <m/>
    <s v="423607314"/>
  </r>
  <r>
    <s v="E2C1019662"/>
    <d v="2016-05-17T00:00:00"/>
    <s v="22C0285850"/>
    <x v="2"/>
    <x v="0"/>
    <x v="2"/>
    <n v="71"/>
    <n v="0"/>
    <n v="0"/>
    <n v="0"/>
    <n v="0"/>
    <n v="0"/>
    <n v="71"/>
    <n v="71"/>
    <n v="348"/>
    <s v="Plus120Days"/>
    <d v="2017-04-30T00:00:00"/>
    <s v="AI"/>
    <m/>
    <m/>
    <m/>
    <m/>
    <m/>
    <m/>
    <s v="423607399"/>
  </r>
  <r>
    <s v="E2C1016218"/>
    <d v="2016-05-06T00:00:00"/>
    <s v="22C0282179"/>
    <x v="2"/>
    <x v="0"/>
    <x v="2"/>
    <n v="86"/>
    <n v="0"/>
    <n v="0"/>
    <n v="0"/>
    <n v="0"/>
    <n v="0"/>
    <n v="86"/>
    <n v="86"/>
    <n v="359"/>
    <s v="Plus120Days"/>
    <d v="2017-04-30T00:00:00"/>
    <s v="AI"/>
    <m/>
    <m/>
    <m/>
    <m/>
    <m/>
    <m/>
    <s v="4395669261"/>
  </r>
  <r>
    <s v="E2C1018321"/>
    <d v="2016-05-12T00:00:00"/>
    <s v="22C0285252"/>
    <x v="2"/>
    <x v="0"/>
    <x v="2"/>
    <n v="86"/>
    <n v="0"/>
    <n v="0"/>
    <n v="0"/>
    <n v="0"/>
    <n v="0"/>
    <n v="86"/>
    <n v="86"/>
    <n v="353"/>
    <s v="Plus120Days"/>
    <d v="2017-04-30T00:00:00"/>
    <s v="AI"/>
    <m/>
    <m/>
    <m/>
    <m/>
    <m/>
    <m/>
    <s v="422502526"/>
  </r>
  <r>
    <s v="E2C1019621"/>
    <d v="2016-05-17T00:00:00"/>
    <s v="22C0285862"/>
    <x v="2"/>
    <x v="0"/>
    <x v="2"/>
    <n v="86"/>
    <n v="0"/>
    <n v="0"/>
    <n v="0"/>
    <n v="0"/>
    <n v="0"/>
    <n v="86"/>
    <n v="86"/>
    <n v="348"/>
    <s v="Plus120Days"/>
    <d v="2017-04-30T00:00:00"/>
    <s v="AI"/>
    <m/>
    <m/>
    <m/>
    <m/>
    <m/>
    <m/>
    <s v="4580105962"/>
  </r>
  <r>
    <s v="E2C1017495"/>
    <d v="2016-05-10T00:00:00"/>
    <s v="22C0285113"/>
    <x v="2"/>
    <x v="0"/>
    <x v="2"/>
    <n v="94"/>
    <n v="0"/>
    <n v="0"/>
    <n v="0"/>
    <n v="0"/>
    <n v="0"/>
    <n v="94"/>
    <n v="94"/>
    <n v="355"/>
    <s v="Plus120Days"/>
    <d v="2017-04-30T00:00:00"/>
    <s v="AI"/>
    <m/>
    <m/>
    <m/>
    <m/>
    <m/>
    <m/>
    <s v="423607355"/>
  </r>
  <r>
    <s v="E2C1015428"/>
    <d v="2016-05-04T00:00:00"/>
    <s v="22C0284029"/>
    <x v="2"/>
    <x v="0"/>
    <x v="2"/>
    <n v="115"/>
    <n v="0"/>
    <n v="0"/>
    <n v="0"/>
    <n v="0"/>
    <n v="0"/>
    <n v="115"/>
    <n v="115"/>
    <n v="361"/>
    <s v="Plus120Days"/>
    <d v="2017-04-30T00:00:00"/>
    <s v="AI"/>
    <m/>
    <m/>
    <m/>
    <m/>
    <m/>
    <m/>
    <s v="4580105898"/>
  </r>
  <r>
    <s v="E2C1015339"/>
    <d v="2016-05-04T00:00:00"/>
    <s v="22C0284603"/>
    <x v="2"/>
    <x v="0"/>
    <x v="2"/>
    <n v="129"/>
    <n v="0"/>
    <n v="0"/>
    <n v="0"/>
    <n v="0"/>
    <n v="0"/>
    <n v="129"/>
    <n v="129"/>
    <n v="361"/>
    <s v="Plus120Days"/>
    <d v="2017-04-30T00:00:00"/>
    <s v="AI"/>
    <m/>
    <m/>
    <m/>
    <m/>
    <m/>
    <m/>
    <s v="414430070"/>
  </r>
  <r>
    <s v="E2C1015121"/>
    <d v="2016-05-03T00:00:00"/>
    <s v="22C0282851"/>
    <x v="2"/>
    <x v="0"/>
    <x v="2"/>
    <n v="140"/>
    <n v="0"/>
    <n v="0"/>
    <n v="0"/>
    <n v="0"/>
    <n v="0"/>
    <n v="140"/>
    <n v="140"/>
    <n v="362"/>
    <s v="Plus120Days"/>
    <d v="2017-04-30T00:00:00"/>
    <s v="AI"/>
    <m/>
    <m/>
    <m/>
    <m/>
    <m/>
    <m/>
    <s v="4060559552"/>
  </r>
  <r>
    <s v="E2C1017430"/>
    <d v="2016-05-10T00:00:00"/>
    <s v="22C0285111"/>
    <x v="2"/>
    <x v="0"/>
    <x v="2"/>
    <n v="142"/>
    <n v="0"/>
    <n v="0"/>
    <n v="0"/>
    <n v="0"/>
    <n v="0"/>
    <n v="142"/>
    <n v="142"/>
    <n v="355"/>
    <s v="Plus120Days"/>
    <d v="2017-04-30T00:00:00"/>
    <s v="AI"/>
    <m/>
    <m/>
    <m/>
    <m/>
    <m/>
    <m/>
    <s v="423607349"/>
  </r>
  <r>
    <s v="E2C1022073"/>
    <d v="2016-05-24T00:00:00"/>
    <s v="22C0286539"/>
    <x v="2"/>
    <x v="0"/>
    <x v="2"/>
    <n v="143"/>
    <n v="0"/>
    <n v="0"/>
    <n v="0"/>
    <n v="0"/>
    <n v="0"/>
    <n v="143"/>
    <n v="143"/>
    <n v="341"/>
    <s v="Plus120Days"/>
    <d v="2017-04-30T00:00:00"/>
    <s v="AI"/>
    <m/>
    <m/>
    <m/>
    <m/>
    <m/>
    <m/>
    <s v="423607450"/>
  </r>
  <r>
    <s v="E2C1130915"/>
    <d v="2017-03-24T00:00:00"/>
    <s v="112907000"/>
    <x v="3"/>
    <x v="0"/>
    <x v="3"/>
    <n v="161"/>
    <n v="0"/>
    <n v="161"/>
    <n v="0"/>
    <n v="0"/>
    <n v="0"/>
    <n v="0"/>
    <n v="0"/>
    <n v="37"/>
    <s v="31 TO 45 Days"/>
    <d v="2017-04-30T00:00:00"/>
    <s v="AI"/>
    <m/>
    <m/>
    <m/>
    <m/>
    <m/>
    <m/>
    <m/>
  </r>
  <r>
    <s v="E2C1015154"/>
    <d v="2016-05-03T00:00:00"/>
    <s v="22C0283455"/>
    <x v="2"/>
    <x v="0"/>
    <x v="2"/>
    <n v="161"/>
    <n v="0"/>
    <n v="0"/>
    <n v="0"/>
    <n v="0"/>
    <n v="0"/>
    <n v="161"/>
    <n v="161"/>
    <n v="362"/>
    <s v="Plus120Days"/>
    <d v="2017-04-30T00:00:00"/>
    <s v="AI"/>
    <m/>
    <m/>
    <m/>
    <m/>
    <m/>
    <m/>
    <s v="4060559996"/>
  </r>
  <r>
    <s v="E2C1017428"/>
    <d v="2016-05-10T00:00:00"/>
    <s v="22C0285110"/>
    <x v="2"/>
    <x v="0"/>
    <x v="2"/>
    <n v="189"/>
    <n v="0"/>
    <n v="0"/>
    <n v="0"/>
    <n v="0"/>
    <n v="0"/>
    <n v="189"/>
    <n v="189"/>
    <n v="355"/>
    <s v="Plus120Days"/>
    <d v="2017-04-30T00:00:00"/>
    <s v="AI"/>
    <m/>
    <m/>
    <m/>
    <m/>
    <m/>
    <m/>
    <s v="423607348"/>
  </r>
  <r>
    <s v="E2C1022070"/>
    <d v="2016-05-24T00:00:00"/>
    <s v="22C0286538"/>
    <x v="2"/>
    <x v="0"/>
    <x v="2"/>
    <n v="191"/>
    <n v="0"/>
    <n v="0"/>
    <n v="0"/>
    <n v="0"/>
    <n v="0"/>
    <n v="191"/>
    <n v="191"/>
    <n v="341"/>
    <s v="Plus120Days"/>
    <d v="2017-04-30T00:00:00"/>
    <s v="AI"/>
    <m/>
    <m/>
    <m/>
    <m/>
    <m/>
    <m/>
    <s v="423607444"/>
  </r>
  <r>
    <s v="E2C1022063"/>
    <d v="2016-05-24T00:00:00"/>
    <s v="22C0286528"/>
    <x v="2"/>
    <x v="0"/>
    <x v="2"/>
    <n v="202"/>
    <n v="0"/>
    <n v="0"/>
    <n v="0"/>
    <n v="0"/>
    <n v="0"/>
    <n v="202"/>
    <n v="202"/>
    <n v="341"/>
    <s v="Plus120Days"/>
    <d v="2017-04-30T00:00:00"/>
    <s v="AI"/>
    <m/>
    <m/>
    <m/>
    <m/>
    <m/>
    <m/>
    <s v="423607440"/>
  </r>
  <r>
    <s v="E2C1015146"/>
    <d v="2016-05-03T00:00:00"/>
    <s v="22C0282625"/>
    <x v="2"/>
    <x v="0"/>
    <x v="2"/>
    <n v="221"/>
    <n v="0"/>
    <n v="0"/>
    <n v="0"/>
    <n v="0"/>
    <n v="0"/>
    <n v="221"/>
    <n v="221"/>
    <n v="362"/>
    <s v="Plus120Days"/>
    <d v="2017-04-30T00:00:00"/>
    <s v="AI"/>
    <m/>
    <m/>
    <m/>
    <m/>
    <m/>
    <m/>
    <s v="4060559385"/>
  </r>
  <r>
    <s v="E2C1015791"/>
    <d v="2016-05-05T00:00:00"/>
    <s v="22C0284667"/>
    <x v="2"/>
    <x v="0"/>
    <x v="2"/>
    <n v="292"/>
    <n v="0"/>
    <n v="0"/>
    <n v="0"/>
    <n v="0"/>
    <n v="0"/>
    <n v="292"/>
    <n v="292"/>
    <n v="360"/>
    <s v="Plus120Days"/>
    <d v="2017-04-30T00:00:00"/>
    <s v="AI"/>
    <m/>
    <m/>
    <m/>
    <m/>
    <m/>
    <m/>
    <s v="4520080540"/>
  </r>
  <r>
    <s v="E2C1014597"/>
    <d v="2016-05-02T00:00:00"/>
    <s v="22C0284204"/>
    <x v="2"/>
    <x v="0"/>
    <x v="2"/>
    <n v="342"/>
    <n v="0"/>
    <n v="0"/>
    <n v="0"/>
    <n v="0"/>
    <n v="0"/>
    <n v="342"/>
    <n v="342"/>
    <n v="363"/>
    <s v="Plus120Days"/>
    <d v="2017-04-30T00:00:00"/>
    <s v="AI"/>
    <m/>
    <m/>
    <m/>
    <m/>
    <m/>
    <m/>
    <s v="411945001"/>
  </r>
  <r>
    <s v="E2C1019658"/>
    <d v="2016-05-17T00:00:00"/>
    <s v="22C0285849"/>
    <x v="2"/>
    <x v="0"/>
    <x v="2"/>
    <n v="361"/>
    <n v="0"/>
    <n v="0"/>
    <n v="0"/>
    <n v="0"/>
    <n v="0"/>
    <n v="361"/>
    <n v="361"/>
    <n v="348"/>
    <s v="Plus120Days"/>
    <d v="2017-04-30T00:00:00"/>
    <s v="AI"/>
    <m/>
    <m/>
    <m/>
    <m/>
    <m/>
    <m/>
    <s v="423607387"/>
  </r>
  <r>
    <s v="E2C1137984"/>
    <d v="2017-04-11T00:00:00"/>
    <s v="22C0321181"/>
    <x v="4"/>
    <x v="0"/>
    <x v="2"/>
    <n v="368"/>
    <n v="368"/>
    <n v="0"/>
    <n v="0"/>
    <n v="0"/>
    <n v="0"/>
    <n v="0"/>
    <n v="0"/>
    <n v="19"/>
    <s v="30 Days"/>
    <d v="2017-04-30T00:00:00"/>
    <s v="AI"/>
    <m/>
    <m/>
    <m/>
    <m/>
    <m/>
    <m/>
    <s v="4570271476"/>
  </r>
  <r>
    <s v="E2C1019664"/>
    <d v="2016-05-17T00:00:00"/>
    <s v="22C0285851"/>
    <x v="2"/>
    <x v="0"/>
    <x v="2"/>
    <n v="380"/>
    <n v="0"/>
    <n v="0"/>
    <n v="0"/>
    <n v="0"/>
    <n v="0"/>
    <n v="380"/>
    <n v="380"/>
    <n v="348"/>
    <s v="Plus120Days"/>
    <d v="2017-04-30T00:00:00"/>
    <s v="AI"/>
    <m/>
    <m/>
    <m/>
    <m/>
    <m/>
    <m/>
    <s v="423607405"/>
  </r>
  <r>
    <s v="E2C1015393"/>
    <d v="2016-05-04T00:00:00"/>
    <s v="22C0284136"/>
    <x v="2"/>
    <x v="0"/>
    <x v="2"/>
    <n v="403"/>
    <n v="0"/>
    <n v="0"/>
    <n v="0"/>
    <n v="0"/>
    <n v="0"/>
    <n v="403"/>
    <n v="403"/>
    <n v="361"/>
    <s v="Plus120Days"/>
    <d v="2017-04-30T00:00:00"/>
    <s v="AI"/>
    <m/>
    <m/>
    <m/>
    <m/>
    <m/>
    <m/>
    <s v="4760139902"/>
  </r>
  <r>
    <s v="E2C1017831"/>
    <d v="2016-05-10T00:00:00"/>
    <s v="22C0284953"/>
    <x v="2"/>
    <x v="0"/>
    <x v="2"/>
    <n v="404"/>
    <n v="0"/>
    <n v="0"/>
    <n v="0"/>
    <n v="0"/>
    <n v="0"/>
    <n v="404"/>
    <n v="404"/>
    <n v="355"/>
    <s v="Plus120Days"/>
    <d v="2017-04-30T00:00:00"/>
    <s v="AI"/>
    <m/>
    <m/>
    <m/>
    <m/>
    <m/>
    <m/>
    <s v="4870141848"/>
  </r>
  <r>
    <s v="E2C1122960"/>
    <d v="2017-03-02T00:00:00"/>
    <s v="22C0316155"/>
    <x v="5"/>
    <x v="0"/>
    <x v="2"/>
    <n v="416"/>
    <n v="0"/>
    <n v="0"/>
    <n v="416"/>
    <n v="0"/>
    <n v="0"/>
    <n v="0"/>
    <n v="0"/>
    <n v="59"/>
    <s v="46 To 60 Days"/>
    <d v="2017-04-30T00:00:00"/>
    <s v="AI"/>
    <m/>
    <m/>
    <m/>
    <m/>
    <m/>
    <m/>
    <s v="4711232269"/>
  </r>
  <r>
    <s v="E2C1022032"/>
    <d v="2016-05-24T00:00:00"/>
    <s v="22C0286260"/>
    <x v="2"/>
    <x v="0"/>
    <x v="2"/>
    <n v="445"/>
    <n v="0"/>
    <n v="0"/>
    <n v="0"/>
    <n v="0"/>
    <n v="0"/>
    <n v="445"/>
    <n v="445"/>
    <n v="341"/>
    <s v="Plus120Days"/>
    <d v="2017-04-30T00:00:00"/>
    <s v="AI"/>
    <m/>
    <m/>
    <m/>
    <m/>
    <m/>
    <m/>
    <s v="4870142230"/>
  </r>
  <r>
    <s v="E2C1094454"/>
    <d v="2016-12-14T00:00:00"/>
    <s v="22C0307098"/>
    <x v="6"/>
    <x v="0"/>
    <x v="1"/>
    <n v="508"/>
    <n v="0"/>
    <n v="0"/>
    <n v="0"/>
    <n v="0"/>
    <n v="0"/>
    <n v="508"/>
    <n v="508"/>
    <n v="137"/>
    <s v="Plus120Days"/>
    <d v="2017-04-30T00:00:00"/>
    <s v="AI"/>
    <m/>
    <m/>
    <m/>
    <m/>
    <m/>
    <m/>
    <s v="4250153493"/>
  </r>
  <r>
    <s v="E2C1015420"/>
    <d v="2016-05-04T00:00:00"/>
    <s v="22C0284183"/>
    <x v="2"/>
    <x v="0"/>
    <x v="2"/>
    <n v="535"/>
    <n v="0"/>
    <n v="0"/>
    <n v="0"/>
    <n v="0"/>
    <n v="0"/>
    <n v="535"/>
    <n v="535"/>
    <n v="361"/>
    <s v="Plus120Days"/>
    <d v="2017-04-30T00:00:00"/>
    <s v="AI"/>
    <m/>
    <m/>
    <m/>
    <m/>
    <m/>
    <m/>
    <s v="4870141646"/>
  </r>
  <r>
    <s v="E2C1019539"/>
    <d v="2016-05-16T00:00:00"/>
    <s v="22C0285737"/>
    <x v="2"/>
    <x v="0"/>
    <x v="2"/>
    <n v="581"/>
    <n v="0"/>
    <n v="0"/>
    <n v="0"/>
    <n v="0"/>
    <n v="0"/>
    <n v="581"/>
    <n v="581"/>
    <n v="349"/>
    <s v="Plus120Days"/>
    <d v="2017-04-30T00:00:00"/>
    <s v="AI"/>
    <m/>
    <m/>
    <m/>
    <m/>
    <m/>
    <m/>
    <s v="4870142056"/>
  </r>
  <r>
    <s v="E2C1015605"/>
    <d v="2016-05-04T00:00:00"/>
    <s v="22C0284437"/>
    <x v="2"/>
    <x v="0"/>
    <x v="2"/>
    <n v="589"/>
    <n v="0"/>
    <n v="0"/>
    <n v="0"/>
    <n v="0"/>
    <n v="0"/>
    <n v="589"/>
    <n v="589"/>
    <n v="361"/>
    <s v="Plus120Days"/>
    <d v="2017-04-30T00:00:00"/>
    <s v="AI"/>
    <m/>
    <m/>
    <m/>
    <m/>
    <m/>
    <m/>
    <s v="423607316"/>
  </r>
  <r>
    <s v="E2C1015607"/>
    <d v="2016-05-04T00:00:00"/>
    <s v="22C0284438"/>
    <x v="2"/>
    <x v="0"/>
    <x v="2"/>
    <n v="639"/>
    <n v="0"/>
    <n v="0"/>
    <n v="0"/>
    <n v="0"/>
    <n v="0"/>
    <n v="639"/>
    <n v="639"/>
    <n v="361"/>
    <s v="Plus120Days"/>
    <d v="2017-04-30T00:00:00"/>
    <s v="AI"/>
    <m/>
    <m/>
    <m/>
    <m/>
    <m/>
    <m/>
    <s v="423607321"/>
  </r>
  <r>
    <s v="E2C1121907"/>
    <d v="2017-02-28T00:00:00"/>
    <s v="22C0315217"/>
    <x v="7"/>
    <x v="0"/>
    <x v="4"/>
    <n v="748"/>
    <n v="0"/>
    <n v="0"/>
    <n v="0"/>
    <n v="748"/>
    <n v="0"/>
    <n v="0"/>
    <n v="748"/>
    <n v="61"/>
    <s v="61 To 90 Days"/>
    <d v="2017-04-30T00:00:00"/>
    <s v="AI"/>
    <m/>
    <m/>
    <m/>
    <s v="EDI - Sent"/>
    <d v="2017-03-02T00:00:00"/>
    <s v="EDI successfully sent"/>
    <s v="4812068724"/>
  </r>
  <r>
    <s v="E2C1135136"/>
    <d v="2017-04-01T00:00:00"/>
    <s v="22C0319736"/>
    <x v="8"/>
    <x v="0"/>
    <x v="2"/>
    <n v="748"/>
    <n v="748"/>
    <n v="0"/>
    <n v="0"/>
    <n v="0"/>
    <n v="0"/>
    <n v="0"/>
    <n v="0"/>
    <n v="29"/>
    <s v="30 Days"/>
    <d v="2017-04-30T00:00:00"/>
    <s v="AI"/>
    <m/>
    <m/>
    <m/>
    <m/>
    <m/>
    <m/>
    <s v="423609961"/>
  </r>
  <r>
    <s v="E2C1135232"/>
    <d v="2017-04-03T00:00:00"/>
    <s v="22C0320287"/>
    <x v="8"/>
    <x v="0"/>
    <x v="2"/>
    <n v="748"/>
    <n v="748"/>
    <n v="0"/>
    <n v="0"/>
    <n v="0"/>
    <n v="0"/>
    <n v="0"/>
    <n v="0"/>
    <n v="27"/>
    <s v="30 Days"/>
    <d v="2017-04-30T00:00:00"/>
    <s v="AI"/>
    <m/>
    <m/>
    <m/>
    <m/>
    <m/>
    <m/>
    <s v="423610326"/>
  </r>
  <r>
    <s v="E2C1135233"/>
    <d v="2017-04-03T00:00:00"/>
    <s v="22C0320285"/>
    <x v="8"/>
    <x v="0"/>
    <x v="2"/>
    <n v="748"/>
    <n v="748"/>
    <n v="0"/>
    <n v="0"/>
    <n v="0"/>
    <n v="0"/>
    <n v="0"/>
    <n v="0"/>
    <n v="27"/>
    <s v="30 Days"/>
    <d v="2017-04-30T00:00:00"/>
    <s v="AI"/>
    <m/>
    <m/>
    <m/>
    <m/>
    <m/>
    <m/>
    <s v="423610121"/>
  </r>
  <r>
    <s v="E2C1135234"/>
    <d v="2017-04-03T00:00:00"/>
    <s v="22C0320286"/>
    <x v="8"/>
    <x v="0"/>
    <x v="2"/>
    <n v="748"/>
    <n v="748"/>
    <n v="0"/>
    <n v="0"/>
    <n v="0"/>
    <n v="0"/>
    <n v="0"/>
    <n v="0"/>
    <n v="27"/>
    <s v="30 Days"/>
    <d v="2017-04-30T00:00:00"/>
    <s v="AI"/>
    <m/>
    <m/>
    <m/>
    <m/>
    <m/>
    <m/>
    <s v="423610143"/>
  </r>
  <r>
    <s v="E2C1135237"/>
    <d v="2017-04-03T00:00:00"/>
    <s v="22C0320288"/>
    <x v="8"/>
    <x v="0"/>
    <x v="2"/>
    <n v="748"/>
    <n v="748"/>
    <n v="0"/>
    <n v="0"/>
    <n v="0"/>
    <n v="0"/>
    <n v="0"/>
    <n v="0"/>
    <n v="27"/>
    <s v="30 Days"/>
    <d v="2017-04-30T00:00:00"/>
    <s v="AI"/>
    <m/>
    <m/>
    <m/>
    <m/>
    <m/>
    <m/>
    <s v="423610337"/>
  </r>
  <r>
    <s v="E2C1137740"/>
    <d v="2017-04-10T00:00:00"/>
    <s v="22C0320600"/>
    <x v="8"/>
    <x v="0"/>
    <x v="2"/>
    <n v="748"/>
    <n v="748"/>
    <n v="0"/>
    <n v="0"/>
    <n v="0"/>
    <n v="0"/>
    <n v="0"/>
    <n v="0"/>
    <n v="20"/>
    <s v="30 Days"/>
    <d v="2017-04-30T00:00:00"/>
    <s v="AI"/>
    <m/>
    <m/>
    <m/>
    <m/>
    <m/>
    <m/>
    <s v="423610497"/>
  </r>
  <r>
    <s v="E2C1139408"/>
    <d v="2017-04-13T00:00:00"/>
    <s v="22C0321378"/>
    <x v="8"/>
    <x v="0"/>
    <x v="2"/>
    <n v="748"/>
    <n v="748"/>
    <n v="0"/>
    <n v="0"/>
    <n v="0"/>
    <n v="0"/>
    <n v="0"/>
    <n v="0"/>
    <n v="17"/>
    <s v="30 Days"/>
    <d v="2017-04-30T00:00:00"/>
    <s v="AI"/>
    <m/>
    <m/>
    <m/>
    <m/>
    <m/>
    <m/>
    <s v="423610567"/>
  </r>
  <r>
    <s v="E2C1139415"/>
    <d v="2017-04-13T00:00:00"/>
    <s v="22C0321381"/>
    <x v="8"/>
    <x v="0"/>
    <x v="2"/>
    <n v="748"/>
    <n v="748"/>
    <n v="0"/>
    <n v="0"/>
    <n v="0"/>
    <n v="0"/>
    <n v="0"/>
    <n v="0"/>
    <n v="17"/>
    <s v="30 Days"/>
    <d v="2017-04-30T00:00:00"/>
    <s v="AI"/>
    <m/>
    <m/>
    <m/>
    <m/>
    <m/>
    <m/>
    <s v="423610623"/>
  </r>
  <r>
    <s v="E2C1020637"/>
    <d v="2016-05-19T00:00:00"/>
    <s v="22C0285634"/>
    <x v="2"/>
    <x v="0"/>
    <x v="2"/>
    <n v="764"/>
    <n v="0"/>
    <n v="0"/>
    <n v="0"/>
    <n v="0"/>
    <n v="0"/>
    <n v="764"/>
    <n v="764"/>
    <n v="346"/>
    <s v="Plus120Days"/>
    <d v="2017-04-30T00:00:00"/>
    <s v="AI"/>
    <m/>
    <m/>
    <m/>
    <m/>
    <m/>
    <m/>
    <s v="4912678816"/>
  </r>
  <r>
    <s v="E2C1139726"/>
    <d v="2017-04-15T00:00:00"/>
    <s v="22C0321500"/>
    <x v="8"/>
    <x v="0"/>
    <x v="2"/>
    <n v="794"/>
    <n v="794"/>
    <n v="0"/>
    <n v="0"/>
    <n v="0"/>
    <n v="0"/>
    <n v="0"/>
    <n v="0"/>
    <n v="15"/>
    <s v="30 Days"/>
    <d v="2017-04-30T00:00:00"/>
    <s v="AI"/>
    <m/>
    <m/>
    <m/>
    <m/>
    <m/>
    <m/>
    <s v="423610671"/>
  </r>
  <r>
    <s v="E2C1128039"/>
    <d v="2017-03-17T00:00:00"/>
    <s v="22C0317827"/>
    <x v="9"/>
    <x v="0"/>
    <x v="2"/>
    <n v="832"/>
    <n v="0"/>
    <n v="832"/>
    <n v="0"/>
    <n v="0"/>
    <n v="0"/>
    <n v="0"/>
    <n v="0"/>
    <n v="44"/>
    <s v="31 TO 45 Days"/>
    <d v="2017-04-30T00:00:00"/>
    <s v="AI"/>
    <m/>
    <m/>
    <m/>
    <m/>
    <m/>
    <m/>
    <s v="4540131009"/>
  </r>
  <r>
    <s v="C620085888"/>
    <d v="2017-03-31T00:00:00"/>
    <s v="C620085888"/>
    <x v="10"/>
    <x v="0"/>
    <x v="5"/>
    <n v="880"/>
    <n v="880"/>
    <n v="0"/>
    <n v="0"/>
    <n v="0"/>
    <n v="0"/>
    <n v="0"/>
    <n v="0"/>
    <n v="30"/>
    <s v="30 Days"/>
    <d v="2017-04-30T00:00:00"/>
    <s v="AI"/>
    <m/>
    <m/>
    <m/>
    <m/>
    <m/>
    <m/>
    <m/>
  </r>
  <r>
    <s v="E2C1015704"/>
    <d v="2016-05-04T00:00:00"/>
    <s v="22C0284037"/>
    <x v="2"/>
    <x v="0"/>
    <x v="2"/>
    <n v="883"/>
    <n v="0"/>
    <n v="0"/>
    <n v="0"/>
    <n v="0"/>
    <n v="0"/>
    <n v="883"/>
    <n v="883"/>
    <n v="361"/>
    <s v="Plus120Days"/>
    <d v="2017-04-30T00:00:00"/>
    <s v="AI"/>
    <m/>
    <m/>
    <m/>
    <m/>
    <m/>
    <m/>
    <s v="413766621"/>
  </r>
  <r>
    <s v="E2C1022034"/>
    <d v="2016-05-24T00:00:00"/>
    <s v="22C0286265"/>
    <x v="2"/>
    <x v="0"/>
    <x v="2"/>
    <n v="887"/>
    <n v="0"/>
    <n v="0"/>
    <n v="0"/>
    <n v="0"/>
    <n v="0"/>
    <n v="887"/>
    <n v="887"/>
    <n v="341"/>
    <s v="Plus120Days"/>
    <d v="2017-04-30T00:00:00"/>
    <s v="AI"/>
    <m/>
    <m/>
    <m/>
    <m/>
    <m/>
    <m/>
    <s v="4870142190"/>
  </r>
  <r>
    <s v="E2C1139727"/>
    <d v="2017-04-15T00:00:00"/>
    <s v="22C0321502"/>
    <x v="8"/>
    <x v="0"/>
    <x v="2"/>
    <n v="907"/>
    <n v="907"/>
    <n v="0"/>
    <n v="0"/>
    <n v="0"/>
    <n v="0"/>
    <n v="0"/>
    <n v="0"/>
    <n v="15"/>
    <s v="30 Days"/>
    <d v="2017-04-30T00:00:00"/>
    <s v="AI"/>
    <m/>
    <m/>
    <m/>
    <m/>
    <m/>
    <m/>
    <s v="423610670"/>
  </r>
  <r>
    <s v="E2C1014629"/>
    <d v="2016-05-02T00:00:00"/>
    <s v="22C0284290"/>
    <x v="2"/>
    <x v="0"/>
    <x v="2"/>
    <n v="950"/>
    <n v="0"/>
    <n v="0"/>
    <n v="0"/>
    <n v="0"/>
    <n v="0"/>
    <n v="950"/>
    <n v="950"/>
    <n v="363"/>
    <s v="Plus120Days"/>
    <d v="2017-04-30T00:00:00"/>
    <s v="AI"/>
    <m/>
    <m/>
    <m/>
    <m/>
    <m/>
    <m/>
    <s v="416333003"/>
  </r>
  <r>
    <s v="E2C1138058"/>
    <d v="2017-04-11T00:00:00"/>
    <s v="22C0320595"/>
    <x v="8"/>
    <x v="0"/>
    <x v="2"/>
    <n v="966"/>
    <n v="966"/>
    <n v="0"/>
    <n v="0"/>
    <n v="0"/>
    <n v="0"/>
    <n v="0"/>
    <n v="0"/>
    <n v="19"/>
    <s v="30 Days"/>
    <d v="2017-04-30T00:00:00"/>
    <s v="AI"/>
    <m/>
    <m/>
    <m/>
    <m/>
    <m/>
    <m/>
    <s v="423610496"/>
  </r>
  <r>
    <s v="E2C1028881"/>
    <d v="2016-06-10T00:00:00"/>
    <s v="22C0284416"/>
    <x v="11"/>
    <x v="0"/>
    <x v="6"/>
    <n v="1000"/>
    <n v="0"/>
    <n v="0"/>
    <n v="0"/>
    <n v="0"/>
    <n v="0"/>
    <n v="1000"/>
    <n v="1000"/>
    <n v="324"/>
    <s v="Plus120Days"/>
    <d v="2017-04-30T00:00:00"/>
    <s v="AI"/>
    <m/>
    <m/>
    <m/>
    <m/>
    <m/>
    <m/>
    <s v="412622434"/>
  </r>
  <r>
    <s v="E2C1131494"/>
    <d v="2017-03-25T00:00:00"/>
    <s v="22C0317164"/>
    <x v="12"/>
    <x v="0"/>
    <x v="7"/>
    <n v="1150"/>
    <n v="0"/>
    <n v="1150"/>
    <n v="0"/>
    <n v="0"/>
    <n v="0"/>
    <n v="0"/>
    <n v="0"/>
    <n v="36"/>
    <s v="31 TO 45 Days"/>
    <d v="2017-04-30T00:00:00"/>
    <s v="AI"/>
    <m/>
    <m/>
    <m/>
    <m/>
    <m/>
    <m/>
    <s v="4560218191"/>
  </r>
  <r>
    <s v="E2C1136812"/>
    <d v="2017-04-07T00:00:00"/>
    <s v="22C0320740"/>
    <x v="13"/>
    <x v="0"/>
    <x v="2"/>
    <n v="1316"/>
    <n v="1316"/>
    <n v="0"/>
    <n v="0"/>
    <n v="0"/>
    <n v="0"/>
    <n v="0"/>
    <n v="0"/>
    <n v="23"/>
    <s v="30 Days"/>
    <d v="2017-04-30T00:00:00"/>
    <s v="AI"/>
    <m/>
    <m/>
    <m/>
    <m/>
    <m/>
    <m/>
    <s v="417268511"/>
  </r>
  <r>
    <s v="E2C1136814"/>
    <d v="2017-04-07T00:00:00"/>
    <s v="22C0320739"/>
    <x v="13"/>
    <x v="0"/>
    <x v="2"/>
    <n v="1318"/>
    <n v="1318"/>
    <n v="0"/>
    <n v="0"/>
    <n v="0"/>
    <n v="0"/>
    <n v="0"/>
    <n v="0"/>
    <n v="23"/>
    <s v="30 Days"/>
    <d v="2017-04-30T00:00:00"/>
    <s v="AI"/>
    <m/>
    <m/>
    <m/>
    <m/>
    <m/>
    <m/>
    <s v="417268510"/>
  </r>
  <r>
    <s v="E2C1088004"/>
    <d v="2016-11-24T00:00:00"/>
    <s v="22C0303997"/>
    <x v="14"/>
    <x v="0"/>
    <x v="2"/>
    <n v="1368"/>
    <n v="0"/>
    <n v="0"/>
    <n v="0"/>
    <n v="0"/>
    <n v="0"/>
    <n v="1368"/>
    <n v="1368"/>
    <n v="157"/>
    <s v="Plus120Days"/>
    <d v="2017-04-30T00:00:00"/>
    <s v="AI"/>
    <m/>
    <m/>
    <m/>
    <m/>
    <m/>
    <m/>
    <s v="4480458160"/>
  </r>
  <r>
    <s v="C620085752"/>
    <d v="2017-03-31T00:00:00"/>
    <s v="C620085752"/>
    <x v="10"/>
    <x v="0"/>
    <x v="5"/>
    <n v="1375"/>
    <n v="1375"/>
    <n v="0"/>
    <n v="0"/>
    <n v="0"/>
    <n v="0"/>
    <n v="0"/>
    <n v="0"/>
    <n v="30"/>
    <s v="30 Days"/>
    <d v="2017-04-30T00:00:00"/>
    <s v="AI"/>
    <m/>
    <m/>
    <m/>
    <m/>
    <m/>
    <m/>
    <m/>
  </r>
  <r>
    <s v="E2C1134167"/>
    <d v="2017-03-31T00:00:00"/>
    <s v="22C0309619"/>
    <x v="15"/>
    <x v="0"/>
    <x v="8"/>
    <n v="1405"/>
    <n v="1405"/>
    <n v="0"/>
    <n v="0"/>
    <n v="0"/>
    <n v="0"/>
    <n v="0"/>
    <n v="0"/>
    <n v="30"/>
    <s v="30 Days"/>
    <d v="2017-04-30T00:00:00"/>
    <s v="AI"/>
    <m/>
    <m/>
    <m/>
    <m/>
    <m/>
    <m/>
    <s v="4395819955"/>
  </r>
  <r>
    <s v="C620085751"/>
    <d v="2017-03-31T00:00:00"/>
    <s v="C620085751"/>
    <x v="10"/>
    <x v="0"/>
    <x v="5"/>
    <n v="1409"/>
    <n v="1409"/>
    <n v="0"/>
    <n v="0"/>
    <n v="0"/>
    <n v="0"/>
    <n v="0"/>
    <n v="0"/>
    <n v="30"/>
    <s v="30 Days"/>
    <d v="2017-04-30T00:00:00"/>
    <s v="AI"/>
    <m/>
    <m/>
    <m/>
    <m/>
    <m/>
    <m/>
    <m/>
  </r>
  <r>
    <s v="E2C1112458"/>
    <d v="2017-01-31T00:00:00"/>
    <s v="22C0312768"/>
    <x v="16"/>
    <x v="0"/>
    <x v="9"/>
    <n v="1438"/>
    <n v="0"/>
    <n v="0"/>
    <n v="0"/>
    <n v="1438"/>
    <n v="0"/>
    <n v="0"/>
    <n v="1438"/>
    <n v="89"/>
    <s v="61 To 90 Days"/>
    <d v="2017-04-30T00:00:00"/>
    <s v="AI"/>
    <m/>
    <m/>
    <m/>
    <m/>
    <m/>
    <m/>
    <s v="417267962"/>
  </r>
  <r>
    <s v="E2C1102255"/>
    <d v="2017-01-02T00:00:00"/>
    <s v="22C0309807"/>
    <x v="17"/>
    <x v="0"/>
    <x v="10"/>
    <n v="1438"/>
    <n v="0"/>
    <n v="0"/>
    <n v="0"/>
    <n v="0"/>
    <n v="1438"/>
    <n v="0"/>
    <n v="1438"/>
    <n v="118"/>
    <s v="91 To 120 Days"/>
    <d v="2017-04-30T00:00:00"/>
    <s v="AI"/>
    <m/>
    <m/>
    <m/>
    <m/>
    <m/>
    <m/>
    <s v="4530145052"/>
  </r>
  <r>
    <s v="E2C1125127"/>
    <d v="2017-03-09T00:00:00"/>
    <s v="22C0317111"/>
    <x v="17"/>
    <x v="0"/>
    <x v="10"/>
    <n v="1438"/>
    <n v="0"/>
    <n v="0"/>
    <n v="1438"/>
    <n v="0"/>
    <n v="0"/>
    <n v="0"/>
    <n v="0"/>
    <n v="52"/>
    <s v="46 To 60 Days"/>
    <d v="2017-04-30T00:00:00"/>
    <s v="AI"/>
    <m/>
    <m/>
    <m/>
    <m/>
    <m/>
    <m/>
    <s v="4530146377"/>
  </r>
  <r>
    <s v="E2C1125897"/>
    <d v="2017-03-10T00:00:00"/>
    <s v="22C0317287"/>
    <x v="17"/>
    <x v="0"/>
    <x v="10"/>
    <n v="1438"/>
    <n v="0"/>
    <n v="0"/>
    <n v="1438"/>
    <n v="0"/>
    <n v="0"/>
    <n v="0"/>
    <n v="0"/>
    <n v="51"/>
    <s v="46 To 60 Days"/>
    <d v="2017-04-30T00:00:00"/>
    <s v="AI"/>
    <m/>
    <m/>
    <m/>
    <m/>
    <m/>
    <m/>
    <s v="4110237627"/>
  </r>
  <r>
    <s v="E2C1130546"/>
    <d v="2017-03-23T00:00:00"/>
    <s v="22C0318897"/>
    <x v="17"/>
    <x v="0"/>
    <x v="10"/>
    <n v="1438"/>
    <n v="0"/>
    <n v="1438"/>
    <n v="0"/>
    <n v="0"/>
    <n v="0"/>
    <n v="0"/>
    <n v="0"/>
    <n v="38"/>
    <s v="31 TO 45 Days"/>
    <d v="2017-04-30T00:00:00"/>
    <s v="AI"/>
    <m/>
    <m/>
    <m/>
    <m/>
    <m/>
    <m/>
    <s v="4530146674"/>
  </r>
  <r>
    <s v="E2C1131504"/>
    <d v="2017-03-25T00:00:00"/>
    <s v="22C0319104"/>
    <x v="17"/>
    <x v="0"/>
    <x v="10"/>
    <n v="1438"/>
    <n v="0"/>
    <n v="1438"/>
    <n v="0"/>
    <n v="0"/>
    <n v="0"/>
    <n v="0"/>
    <n v="0"/>
    <n v="36"/>
    <s v="31 TO 45 Days"/>
    <d v="2017-04-30T00:00:00"/>
    <s v="AI"/>
    <m/>
    <m/>
    <m/>
    <m/>
    <m/>
    <m/>
    <s v="4530146723"/>
  </r>
  <r>
    <s v="E2C1131754"/>
    <d v="2017-03-27T00:00:00"/>
    <s v="22C0319509"/>
    <x v="17"/>
    <x v="0"/>
    <x v="10"/>
    <n v="1438"/>
    <n v="0"/>
    <n v="1438"/>
    <n v="0"/>
    <n v="0"/>
    <n v="0"/>
    <n v="0"/>
    <n v="0"/>
    <n v="34"/>
    <s v="31 TO 45 Days"/>
    <d v="2017-04-30T00:00:00"/>
    <s v="AI"/>
    <m/>
    <m/>
    <m/>
    <m/>
    <m/>
    <m/>
    <s v="4530146771"/>
  </r>
  <r>
    <s v="E2C1131756"/>
    <d v="2017-03-27T00:00:00"/>
    <s v="22C0319510"/>
    <x v="17"/>
    <x v="0"/>
    <x v="10"/>
    <n v="1438"/>
    <n v="0"/>
    <n v="1438"/>
    <n v="0"/>
    <n v="0"/>
    <n v="0"/>
    <n v="0"/>
    <n v="0"/>
    <n v="34"/>
    <s v="31 TO 45 Days"/>
    <d v="2017-04-30T00:00:00"/>
    <s v="AI"/>
    <m/>
    <m/>
    <m/>
    <m/>
    <m/>
    <m/>
    <s v="4530146793"/>
  </r>
  <r>
    <s v="E2C1135273"/>
    <d v="2017-04-03T00:00:00"/>
    <s v="22C0319806"/>
    <x v="17"/>
    <x v="0"/>
    <x v="10"/>
    <n v="1438"/>
    <n v="1438"/>
    <n v="0"/>
    <n v="0"/>
    <n v="0"/>
    <n v="0"/>
    <n v="0"/>
    <n v="0"/>
    <n v="27"/>
    <s v="30 Days"/>
    <d v="2017-04-30T00:00:00"/>
    <s v="AI"/>
    <m/>
    <m/>
    <m/>
    <m/>
    <m/>
    <m/>
    <s v="4530146777"/>
  </r>
  <r>
    <s v="E2C1135963"/>
    <d v="2017-04-05T00:00:00"/>
    <s v="22C0320331"/>
    <x v="17"/>
    <x v="0"/>
    <x v="10"/>
    <n v="1438"/>
    <n v="1438"/>
    <n v="0"/>
    <n v="0"/>
    <n v="0"/>
    <n v="0"/>
    <n v="0"/>
    <n v="0"/>
    <n v="25"/>
    <s v="30 Days"/>
    <d v="2017-04-30T00:00:00"/>
    <s v="AI"/>
    <m/>
    <m/>
    <m/>
    <m/>
    <m/>
    <m/>
    <s v="4110238304"/>
  </r>
  <r>
    <s v="E2C1139064"/>
    <d v="2017-04-13T00:00:00"/>
    <s v="22C0321444"/>
    <x v="17"/>
    <x v="0"/>
    <x v="10"/>
    <n v="1438"/>
    <n v="1438"/>
    <n v="0"/>
    <n v="0"/>
    <n v="0"/>
    <n v="0"/>
    <n v="0"/>
    <n v="0"/>
    <n v="17"/>
    <s v="30 Days"/>
    <d v="2017-04-30T00:00:00"/>
    <s v="AI"/>
    <m/>
    <m/>
    <m/>
    <m/>
    <m/>
    <m/>
    <s v="4530147125"/>
  </r>
  <r>
    <s v="E2C1139065"/>
    <d v="2017-04-13T00:00:00"/>
    <s v="22C0321445"/>
    <x v="17"/>
    <x v="0"/>
    <x v="10"/>
    <n v="1438"/>
    <n v="1438"/>
    <n v="0"/>
    <n v="0"/>
    <n v="0"/>
    <n v="0"/>
    <n v="0"/>
    <n v="0"/>
    <n v="17"/>
    <s v="30 Days"/>
    <d v="2017-04-30T00:00:00"/>
    <s v="AI"/>
    <m/>
    <m/>
    <m/>
    <m/>
    <m/>
    <m/>
    <s v="4530147127"/>
  </r>
  <r>
    <s v="E2C1125397"/>
    <d v="2017-03-09T00:00:00"/>
    <s v="22C0316668"/>
    <x v="16"/>
    <x v="0"/>
    <x v="9"/>
    <n v="1459"/>
    <n v="0"/>
    <n v="0"/>
    <n v="1459"/>
    <n v="0"/>
    <n v="0"/>
    <n v="0"/>
    <n v="0"/>
    <n v="52"/>
    <s v="46 To 60 Days"/>
    <d v="2017-04-30T00:00:00"/>
    <s v="AI"/>
    <m/>
    <m/>
    <m/>
    <m/>
    <m/>
    <m/>
    <s v="415953852"/>
  </r>
  <r>
    <s v="E2C1137634"/>
    <d v="2017-04-10T00:00:00"/>
    <s v="22C0320816"/>
    <x v="16"/>
    <x v="0"/>
    <x v="9"/>
    <n v="1459"/>
    <n v="1459"/>
    <n v="0"/>
    <n v="0"/>
    <n v="0"/>
    <n v="0"/>
    <n v="0"/>
    <n v="0"/>
    <n v="20"/>
    <s v="30 Days"/>
    <d v="2017-04-30T00:00:00"/>
    <s v="AI"/>
    <m/>
    <m/>
    <m/>
    <m/>
    <m/>
    <m/>
    <s v="415954411"/>
  </r>
  <r>
    <s v="E2C1137636"/>
    <d v="2017-04-10T00:00:00"/>
    <s v="22C0320817"/>
    <x v="16"/>
    <x v="0"/>
    <x v="9"/>
    <n v="1467"/>
    <n v="1467"/>
    <n v="0"/>
    <n v="0"/>
    <n v="0"/>
    <n v="0"/>
    <n v="0"/>
    <n v="0"/>
    <n v="20"/>
    <s v="30 Days"/>
    <d v="2017-04-30T00:00:00"/>
    <s v="AI"/>
    <m/>
    <m/>
    <m/>
    <m/>
    <m/>
    <m/>
    <s v="415954413"/>
  </r>
  <r>
    <s v="E2C1100298"/>
    <d v="2016-12-29T00:00:00"/>
    <s v="22C0308668"/>
    <x v="16"/>
    <x v="0"/>
    <x v="9"/>
    <n v="1469"/>
    <n v="0"/>
    <n v="0"/>
    <n v="0"/>
    <n v="0"/>
    <n v="0"/>
    <n v="1469"/>
    <n v="1469"/>
    <n v="122"/>
    <s v="Plus120Days"/>
    <d v="2017-04-30T00:00:00"/>
    <s v="AI"/>
    <m/>
    <m/>
    <m/>
    <m/>
    <m/>
    <m/>
    <s v="415952650"/>
  </r>
  <r>
    <s v="E2C1110201"/>
    <d v="2017-01-25T00:00:00"/>
    <s v="22C0311646"/>
    <x v="16"/>
    <x v="0"/>
    <x v="9"/>
    <n v="1477"/>
    <n v="0"/>
    <n v="0"/>
    <n v="0"/>
    <n v="0"/>
    <n v="1477"/>
    <n v="0"/>
    <n v="1477"/>
    <n v="95"/>
    <s v="91 To 120 Days"/>
    <d v="2017-04-30T00:00:00"/>
    <s v="AI"/>
    <m/>
    <m/>
    <m/>
    <m/>
    <m/>
    <m/>
    <s v="415953219"/>
  </r>
  <r>
    <s v="E2C1127526"/>
    <d v="2017-03-16T00:00:00"/>
    <s v="22C0317061"/>
    <x v="16"/>
    <x v="0"/>
    <x v="9"/>
    <n v="1477"/>
    <n v="0"/>
    <n v="1477"/>
    <n v="0"/>
    <n v="0"/>
    <n v="0"/>
    <n v="0"/>
    <n v="0"/>
    <n v="45"/>
    <s v="31 TO 45 Days"/>
    <d v="2017-04-30T00:00:00"/>
    <s v="AI"/>
    <m/>
    <m/>
    <m/>
    <m/>
    <m/>
    <m/>
    <s v="415953927"/>
  </r>
  <r>
    <s v="E2C1122810"/>
    <d v="2017-03-01T00:00:00"/>
    <s v="22C0315837"/>
    <x v="16"/>
    <x v="0"/>
    <x v="9"/>
    <n v="1479"/>
    <n v="0"/>
    <n v="0"/>
    <n v="1479"/>
    <n v="0"/>
    <n v="0"/>
    <n v="0"/>
    <n v="0"/>
    <n v="60"/>
    <s v="46 To 60 Days"/>
    <d v="2017-04-30T00:00:00"/>
    <s v="AI"/>
    <m/>
    <m/>
    <m/>
    <m/>
    <m/>
    <m/>
    <s v="417268166"/>
  </r>
  <r>
    <s v="E2C1104955"/>
    <d v="2017-01-10T00:00:00"/>
    <s v="22C0310276"/>
    <x v="18"/>
    <x v="0"/>
    <x v="11"/>
    <n v="1484"/>
    <n v="0"/>
    <n v="0"/>
    <n v="0"/>
    <n v="0"/>
    <n v="1484"/>
    <n v="0"/>
    <n v="1484"/>
    <n v="110"/>
    <s v="91 To 120 Days"/>
    <d v="2017-04-30T00:00:00"/>
    <s v="AI"/>
    <m/>
    <m/>
    <m/>
    <m/>
    <m/>
    <m/>
    <s v="4711220483"/>
  </r>
  <r>
    <s v="E2C1121928"/>
    <d v="2017-02-28T00:00:00"/>
    <s v="22C0315451"/>
    <x v="18"/>
    <x v="0"/>
    <x v="11"/>
    <n v="1484"/>
    <n v="0"/>
    <n v="0"/>
    <n v="0"/>
    <n v="1484"/>
    <n v="0"/>
    <n v="0"/>
    <n v="1484"/>
    <n v="61"/>
    <s v="61 To 90 Days"/>
    <d v="2017-04-30T00:00:00"/>
    <s v="AI"/>
    <m/>
    <m/>
    <m/>
    <m/>
    <m/>
    <m/>
    <s v="4480464639"/>
  </r>
  <r>
    <s v="E2C1122675"/>
    <d v="2017-03-01T00:00:00"/>
    <s v="22C0316047"/>
    <x v="18"/>
    <x v="0"/>
    <x v="11"/>
    <n v="1484"/>
    <n v="0"/>
    <n v="0"/>
    <n v="1484"/>
    <n v="0"/>
    <n v="0"/>
    <n v="0"/>
    <n v="0"/>
    <n v="60"/>
    <s v="46 To 60 Days"/>
    <d v="2017-04-30T00:00:00"/>
    <s v="AI"/>
    <m/>
    <m/>
    <m/>
    <m/>
    <m/>
    <m/>
    <s v="4711232843"/>
  </r>
  <r>
    <s v="E2C1137349"/>
    <d v="2017-04-07T00:00:00"/>
    <s v="22C0320765"/>
    <x v="8"/>
    <x v="0"/>
    <x v="2"/>
    <n v="1487"/>
    <n v="1487"/>
    <n v="0"/>
    <n v="0"/>
    <n v="0"/>
    <n v="0"/>
    <n v="0"/>
    <n v="0"/>
    <n v="23"/>
    <s v="30 Days"/>
    <d v="2017-04-30T00:00:00"/>
    <s v="AI"/>
    <m/>
    <m/>
    <m/>
    <m/>
    <m/>
    <m/>
    <s v="423610554"/>
  </r>
  <r>
    <s v="E2C1136092"/>
    <d v="2017-04-05T00:00:00"/>
    <s v="22C0320542"/>
    <x v="19"/>
    <x v="0"/>
    <x v="12"/>
    <n v="1525"/>
    <n v="1525"/>
    <n v="0"/>
    <n v="0"/>
    <n v="0"/>
    <n v="0"/>
    <n v="0"/>
    <n v="0"/>
    <n v="25"/>
    <s v="30 Days"/>
    <d v="2017-04-30T00:00:00"/>
    <s v="AI"/>
    <m/>
    <m/>
    <m/>
    <m/>
    <m/>
    <m/>
    <s v="42J0204637"/>
  </r>
  <r>
    <s v="E2C1135125"/>
    <d v="2017-04-01T00:00:00"/>
    <s v="22C0319506"/>
    <x v="7"/>
    <x v="0"/>
    <x v="4"/>
    <n v="1544"/>
    <n v="1544"/>
    <n v="0"/>
    <n v="0"/>
    <n v="0"/>
    <n v="0"/>
    <n v="0"/>
    <n v="0"/>
    <n v="29"/>
    <s v="30 Days"/>
    <d v="2017-04-30T00:00:00"/>
    <s v="AI"/>
    <m/>
    <m/>
    <m/>
    <s v="EDI - Sent"/>
    <d v="2017-04-03T00:00:00"/>
    <s v="EDI successfully sent"/>
    <s v="4110238093"/>
  </r>
  <r>
    <s v="E2C1135265"/>
    <d v="2017-04-03T00:00:00"/>
    <s v="22C0319874"/>
    <x v="17"/>
    <x v="0"/>
    <x v="10"/>
    <n v="1592"/>
    <n v="1592"/>
    <n v="0"/>
    <n v="0"/>
    <n v="0"/>
    <n v="0"/>
    <n v="0"/>
    <n v="0"/>
    <n v="27"/>
    <s v="30 Days"/>
    <d v="2017-04-30T00:00:00"/>
    <s v="AI"/>
    <m/>
    <m/>
    <m/>
    <m/>
    <m/>
    <m/>
    <s v="4030303819"/>
  </r>
  <r>
    <s v="E2C1100301"/>
    <d v="2016-12-29T00:00:00"/>
    <s v="22C0308677"/>
    <x v="16"/>
    <x v="0"/>
    <x v="9"/>
    <n v="1657"/>
    <n v="0"/>
    <n v="0"/>
    <n v="0"/>
    <n v="0"/>
    <n v="0"/>
    <n v="1657"/>
    <n v="1657"/>
    <n v="122"/>
    <s v="Plus120Days"/>
    <d v="2017-04-30T00:00:00"/>
    <s v="AI"/>
    <m/>
    <m/>
    <m/>
    <m/>
    <m/>
    <m/>
    <s v="417267694"/>
  </r>
  <r>
    <s v="E2C1101579"/>
    <d v="2016-12-31T00:00:00"/>
    <s v="22C0308296"/>
    <x v="20"/>
    <x v="0"/>
    <x v="2"/>
    <n v="1709"/>
    <n v="0"/>
    <n v="0"/>
    <n v="0"/>
    <n v="0"/>
    <n v="1709"/>
    <n v="0"/>
    <n v="1709"/>
    <n v="120"/>
    <s v="91 To 120 Days"/>
    <d v="2017-04-30T00:00:00"/>
    <s v="AI"/>
    <m/>
    <m/>
    <m/>
    <m/>
    <m/>
    <m/>
    <s v="4600154854"/>
  </r>
  <r>
    <s v="E2C1135248"/>
    <d v="2017-04-03T00:00:00"/>
    <s v="22C0320328"/>
    <x v="21"/>
    <x v="0"/>
    <x v="13"/>
    <n v="1740"/>
    <n v="1740"/>
    <n v="0"/>
    <n v="0"/>
    <n v="0"/>
    <n v="0"/>
    <n v="0"/>
    <n v="0"/>
    <n v="27"/>
    <s v="30 Days"/>
    <d v="2017-04-30T00:00:00"/>
    <s v="AI"/>
    <m/>
    <m/>
    <m/>
    <m/>
    <m/>
    <m/>
    <s v="4052210307"/>
  </r>
  <r>
    <s v="E2C1125123"/>
    <d v="2017-03-09T00:00:00"/>
    <s v="22C0317003"/>
    <x v="17"/>
    <x v="0"/>
    <x v="10"/>
    <n v="1756"/>
    <n v="0"/>
    <n v="0"/>
    <n v="1756"/>
    <n v="0"/>
    <n v="0"/>
    <n v="0"/>
    <n v="0"/>
    <n v="52"/>
    <s v="46 To 60 Days"/>
    <d v="2017-04-30T00:00:00"/>
    <s v="AI"/>
    <m/>
    <m/>
    <m/>
    <m/>
    <m/>
    <m/>
    <s v="4030294659"/>
  </r>
  <r>
    <s v="E2C1135931"/>
    <d v="2017-04-05T00:00:00"/>
    <s v="22C0319493"/>
    <x v="21"/>
    <x v="0"/>
    <x v="13"/>
    <n v="1765"/>
    <n v="1765"/>
    <n v="0"/>
    <n v="0"/>
    <n v="0"/>
    <n v="0"/>
    <n v="0"/>
    <n v="0"/>
    <n v="25"/>
    <s v="30 Days"/>
    <d v="2017-04-30T00:00:00"/>
    <s v="AI"/>
    <m/>
    <m/>
    <m/>
    <m/>
    <m/>
    <m/>
    <s v="4052209158"/>
  </r>
  <r>
    <s v="E2C1128866"/>
    <d v="2017-03-20T00:00:00"/>
    <s v="22C0318280"/>
    <x v="22"/>
    <x v="0"/>
    <x v="14"/>
    <n v="1765"/>
    <n v="0"/>
    <n v="1765"/>
    <n v="0"/>
    <n v="0"/>
    <n v="0"/>
    <n v="0"/>
    <n v="0"/>
    <n v="41"/>
    <s v="31 TO 45 Days"/>
    <d v="2017-04-30T00:00:00"/>
    <s v="AI"/>
    <m/>
    <m/>
    <m/>
    <m/>
    <m/>
    <m/>
    <s v="423610052"/>
  </r>
  <r>
    <s v="E2C1136255"/>
    <d v="2017-04-05T00:00:00"/>
    <s v="22C0320597"/>
    <x v="17"/>
    <x v="0"/>
    <x v="10"/>
    <n v="1785"/>
    <n v="1785"/>
    <n v="0"/>
    <n v="0"/>
    <n v="0"/>
    <n v="0"/>
    <n v="0"/>
    <n v="0"/>
    <n v="25"/>
    <s v="30 Days"/>
    <d v="2017-04-30T00:00:00"/>
    <s v="AI"/>
    <m/>
    <m/>
    <m/>
    <m/>
    <m/>
    <m/>
    <s v="4030303897"/>
  </r>
  <r>
    <s v="E2C1128970"/>
    <d v="2017-03-20T00:00:00"/>
    <s v="22C0317936"/>
    <x v="21"/>
    <x v="0"/>
    <x v="13"/>
    <n v="1791"/>
    <n v="0"/>
    <n v="1791"/>
    <n v="0"/>
    <n v="0"/>
    <n v="0"/>
    <n v="0"/>
    <n v="0"/>
    <n v="41"/>
    <s v="31 TO 45 Days"/>
    <d v="2017-04-30T00:00:00"/>
    <s v="AI"/>
    <m/>
    <m/>
    <m/>
    <m/>
    <m/>
    <m/>
    <s v="419748488"/>
  </r>
  <r>
    <s v="E2C1131503"/>
    <d v="2017-03-25T00:00:00"/>
    <s v="22C0318243"/>
    <x v="17"/>
    <x v="0"/>
    <x v="10"/>
    <n v="1796"/>
    <n v="0"/>
    <n v="1796"/>
    <n v="0"/>
    <n v="0"/>
    <n v="0"/>
    <n v="0"/>
    <n v="0"/>
    <n v="36"/>
    <s v="31 TO 45 Days"/>
    <d v="2017-04-30T00:00:00"/>
    <s v="AI"/>
    <m/>
    <m/>
    <m/>
    <m/>
    <m/>
    <m/>
    <s v="4030303703"/>
  </r>
  <r>
    <s v="E2C1093158"/>
    <d v="2016-12-08T00:00:00"/>
    <s v="22C0307013"/>
    <x v="18"/>
    <x v="0"/>
    <x v="11"/>
    <n v="1809"/>
    <n v="0"/>
    <n v="0"/>
    <n v="0"/>
    <n v="0"/>
    <n v="0"/>
    <n v="1809"/>
    <n v="1809"/>
    <n v="143"/>
    <s v="Plus120Days"/>
    <d v="2017-04-30T00:00:00"/>
    <s v="AI"/>
    <m/>
    <m/>
    <m/>
    <m/>
    <m/>
    <m/>
    <s v="42J0197813"/>
  </r>
  <r>
    <s v="E2C1128968"/>
    <d v="2017-03-20T00:00:00"/>
    <s v="22C0317937"/>
    <x v="21"/>
    <x v="0"/>
    <x v="13"/>
    <n v="1824"/>
    <n v="0"/>
    <n v="1824"/>
    <n v="0"/>
    <n v="0"/>
    <n v="0"/>
    <n v="0"/>
    <n v="0"/>
    <n v="41"/>
    <s v="31 TO 45 Days"/>
    <d v="2017-04-30T00:00:00"/>
    <s v="AI"/>
    <m/>
    <m/>
    <m/>
    <m/>
    <m/>
    <m/>
    <s v="419748694"/>
  </r>
  <r>
    <s v="E2C1117654"/>
    <d v="2017-02-15T00:00:00"/>
    <s v="22C0314394"/>
    <x v="21"/>
    <x v="0"/>
    <x v="13"/>
    <n v="1850"/>
    <n v="0"/>
    <n v="0"/>
    <n v="0"/>
    <n v="1850"/>
    <n v="0"/>
    <n v="0"/>
    <n v="1850"/>
    <n v="74"/>
    <s v="61 To 90 Days"/>
    <d v="2017-04-30T00:00:00"/>
    <s v="AI"/>
    <m/>
    <m/>
    <m/>
    <m/>
    <m/>
    <m/>
    <s v="419747874"/>
  </r>
  <r>
    <s v="E2C1136256"/>
    <d v="2017-04-05T00:00:00"/>
    <s v="22C0316012"/>
    <x v="23"/>
    <x v="0"/>
    <x v="15"/>
    <n v="1886"/>
    <n v="1886"/>
    <n v="0"/>
    <n v="0"/>
    <n v="0"/>
    <n v="0"/>
    <n v="0"/>
    <n v="0"/>
    <n v="25"/>
    <s v="30 Days"/>
    <d v="2017-04-30T00:00:00"/>
    <s v="AI"/>
    <m/>
    <m/>
    <m/>
    <m/>
    <m/>
    <m/>
    <s v="4100144430"/>
  </r>
  <r>
    <s v="E2C1132776"/>
    <d v="2017-03-29T00:00:00"/>
    <s v="22C0318856"/>
    <x v="21"/>
    <x v="0"/>
    <x v="13"/>
    <n v="1896"/>
    <n v="0"/>
    <n v="1896"/>
    <n v="0"/>
    <n v="0"/>
    <n v="0"/>
    <n v="0"/>
    <n v="0"/>
    <n v="32"/>
    <s v="31 TO 45 Days"/>
    <d v="2017-04-30T00:00:00"/>
    <s v="AI"/>
    <m/>
    <m/>
    <m/>
    <m/>
    <m/>
    <m/>
    <s v="419748993"/>
  </r>
  <r>
    <s v="E2C1127288"/>
    <d v="2017-03-16T00:00:00"/>
    <s v="22C0317970"/>
    <x v="20"/>
    <x v="0"/>
    <x v="2"/>
    <n v="1912"/>
    <n v="0"/>
    <n v="1912"/>
    <n v="0"/>
    <n v="0"/>
    <n v="0"/>
    <n v="0"/>
    <n v="0"/>
    <n v="45"/>
    <s v="31 TO 45 Days"/>
    <d v="2017-04-30T00:00:00"/>
    <s v="AI"/>
    <m/>
    <m/>
    <m/>
    <m/>
    <m/>
    <m/>
    <s v="4600158127"/>
  </r>
  <r>
    <s v="E2C1113662"/>
    <d v="2017-02-02T00:00:00"/>
    <s v="22C0312910"/>
    <x v="24"/>
    <x v="0"/>
    <x v="16"/>
    <n v="1960"/>
    <n v="0"/>
    <n v="0"/>
    <n v="0"/>
    <n v="1960"/>
    <n v="0"/>
    <n v="0"/>
    <n v="1960"/>
    <n v="87"/>
    <s v="61 To 90 Days"/>
    <d v="2017-04-30T00:00:00"/>
    <s v="AI"/>
    <m/>
    <m/>
    <m/>
    <m/>
    <m/>
    <m/>
    <s v="4100143756"/>
  </r>
  <r>
    <s v="E2C1117655"/>
    <d v="2017-02-15T00:00:00"/>
    <s v="22C0314395"/>
    <x v="21"/>
    <x v="0"/>
    <x v="13"/>
    <n v="1968"/>
    <n v="0"/>
    <n v="0"/>
    <n v="0"/>
    <n v="1968"/>
    <n v="0"/>
    <n v="0"/>
    <n v="1968"/>
    <n v="74"/>
    <s v="61 To 90 Days"/>
    <d v="2017-04-30T00:00:00"/>
    <s v="AI"/>
    <m/>
    <m/>
    <m/>
    <m/>
    <m/>
    <m/>
    <s v="419747946"/>
  </r>
  <r>
    <s v="E2C1110508"/>
    <d v="2017-01-25T00:00:00"/>
    <s v="22C0311450"/>
    <x v="21"/>
    <x v="0"/>
    <x v="13"/>
    <n v="2119"/>
    <n v="0"/>
    <n v="0"/>
    <n v="0"/>
    <n v="0"/>
    <n v="2119"/>
    <n v="0"/>
    <n v="2119"/>
    <n v="95"/>
    <s v="91 To 120 Days"/>
    <d v="2017-04-30T00:00:00"/>
    <s v="AI"/>
    <m/>
    <m/>
    <m/>
    <m/>
    <m/>
    <m/>
    <s v="4052198934"/>
  </r>
  <r>
    <s v="E2C1139775"/>
    <d v="2017-04-15T00:00:00"/>
    <s v="22C0320708"/>
    <x v="25"/>
    <x v="0"/>
    <x v="2"/>
    <n v="2149"/>
    <n v="2149"/>
    <n v="0"/>
    <n v="0"/>
    <n v="0"/>
    <n v="0"/>
    <n v="0"/>
    <n v="0"/>
    <n v="15"/>
    <s v="30 Days"/>
    <d v="2017-04-30T00:00:00"/>
    <s v="AI"/>
    <m/>
    <m/>
    <m/>
    <m/>
    <m/>
    <m/>
    <s v="4052210273"/>
  </r>
  <r>
    <s v="E2C1136902"/>
    <d v="2017-04-07T00:00:00"/>
    <s v="22C0320785"/>
    <x v="26"/>
    <x v="0"/>
    <x v="2"/>
    <n v="2231"/>
    <n v="2231"/>
    <n v="0"/>
    <n v="0"/>
    <n v="0"/>
    <n v="0"/>
    <n v="0"/>
    <n v="0"/>
    <n v="23"/>
    <s v="30 Days"/>
    <d v="2017-04-30T00:00:00"/>
    <s v="AI"/>
    <m/>
    <m/>
    <m/>
    <m/>
    <m/>
    <m/>
    <s v="410291594"/>
  </r>
  <r>
    <s v="E2C1126871"/>
    <d v="2017-03-15T00:00:00"/>
    <s v="22C0317211"/>
    <x v="27"/>
    <x v="0"/>
    <x v="1"/>
    <n v="2243"/>
    <n v="0"/>
    <n v="0"/>
    <n v="2243"/>
    <n v="0"/>
    <n v="0"/>
    <n v="0"/>
    <n v="0"/>
    <n v="46"/>
    <s v="46 To 60 Days"/>
    <d v="2017-04-30T00:00:00"/>
    <s v="AI"/>
    <m/>
    <m/>
    <m/>
    <m/>
    <m/>
    <m/>
    <s v="415953976"/>
  </r>
  <r>
    <s v="E2C1027597"/>
    <d v="2016-06-07T00:00:00"/>
    <s v="22C0287692"/>
    <x v="28"/>
    <x v="0"/>
    <x v="17"/>
    <n v="2300"/>
    <n v="0"/>
    <n v="0"/>
    <n v="0"/>
    <n v="0"/>
    <n v="0"/>
    <n v="2300"/>
    <n v="2300"/>
    <n v="327"/>
    <s v="Plus120Days"/>
    <d v="2017-04-30T00:00:00"/>
    <s v="AI"/>
    <m/>
    <m/>
    <m/>
    <m/>
    <m/>
    <m/>
    <s v="4041665818"/>
  </r>
  <r>
    <s v="E2C1135940"/>
    <d v="2017-04-05T00:00:00"/>
    <s v="22C0319985"/>
    <x v="29"/>
    <x v="0"/>
    <x v="2"/>
    <n v="2300"/>
    <n v="2300"/>
    <n v="0"/>
    <n v="0"/>
    <n v="0"/>
    <n v="0"/>
    <n v="0"/>
    <n v="0"/>
    <n v="25"/>
    <s v="30 Days"/>
    <d v="2017-04-30T00:00:00"/>
    <s v="AI"/>
    <m/>
    <m/>
    <m/>
    <m/>
    <m/>
    <m/>
    <s v="4041696850"/>
  </r>
  <r>
    <s v="E2C1115895"/>
    <d v="2017-02-10T00:00:00"/>
    <s v="22C0313879"/>
    <x v="30"/>
    <x v="0"/>
    <x v="18"/>
    <n v="2300"/>
    <n v="0"/>
    <n v="0"/>
    <n v="0"/>
    <n v="2300"/>
    <n v="0"/>
    <n v="0"/>
    <n v="2300"/>
    <n v="79"/>
    <s v="61 To 90 Days"/>
    <d v="2017-04-30T00:00:00"/>
    <s v="AI"/>
    <m/>
    <m/>
    <m/>
    <m/>
    <m/>
    <m/>
    <s v="4041691567"/>
  </r>
  <r>
    <s v="E2C1116650"/>
    <d v="2017-02-13T00:00:00"/>
    <s v="22C0313627"/>
    <x v="30"/>
    <x v="0"/>
    <x v="18"/>
    <n v="2300"/>
    <n v="0"/>
    <n v="0"/>
    <n v="0"/>
    <n v="2300"/>
    <n v="0"/>
    <n v="0"/>
    <n v="2300"/>
    <n v="76"/>
    <s v="61 To 90 Days"/>
    <d v="2017-04-30T00:00:00"/>
    <s v="AI"/>
    <m/>
    <m/>
    <m/>
    <m/>
    <m/>
    <m/>
    <s v="4041691148"/>
  </r>
  <r>
    <s v="E2C1116693"/>
    <d v="2017-02-13T00:00:00"/>
    <s v="22C0313415"/>
    <x v="30"/>
    <x v="0"/>
    <x v="18"/>
    <n v="2300"/>
    <n v="0"/>
    <n v="0"/>
    <n v="0"/>
    <n v="2300"/>
    <n v="0"/>
    <n v="0"/>
    <n v="2300"/>
    <n v="76"/>
    <s v="61 To 90 Days"/>
    <d v="2017-04-30T00:00:00"/>
    <s v="AI"/>
    <m/>
    <m/>
    <m/>
    <m/>
    <m/>
    <m/>
    <s v="4041691133"/>
  </r>
  <r>
    <s v="E2C1118294"/>
    <d v="2017-02-17T00:00:00"/>
    <s v="22C0314696"/>
    <x v="30"/>
    <x v="0"/>
    <x v="18"/>
    <n v="2300"/>
    <n v="0"/>
    <n v="0"/>
    <n v="0"/>
    <n v="2300"/>
    <n v="0"/>
    <n v="0"/>
    <n v="2300"/>
    <n v="72"/>
    <s v="61 To 90 Days"/>
    <d v="2017-04-30T00:00:00"/>
    <s v="AI"/>
    <m/>
    <m/>
    <m/>
    <m/>
    <m/>
    <m/>
    <s v="4041692420"/>
  </r>
  <r>
    <s v="E2C1125592"/>
    <d v="2017-03-10T00:00:00"/>
    <s v="22C0316719"/>
    <x v="30"/>
    <x v="0"/>
    <x v="18"/>
    <n v="2300"/>
    <n v="0"/>
    <n v="0"/>
    <n v="2300"/>
    <n v="0"/>
    <n v="0"/>
    <n v="0"/>
    <n v="0"/>
    <n v="51"/>
    <s v="46 To 60 Days"/>
    <d v="2017-04-30T00:00:00"/>
    <s v="AI"/>
    <m/>
    <m/>
    <m/>
    <m/>
    <m/>
    <m/>
    <s v="4041694067"/>
  </r>
  <r>
    <s v="E2C1135929"/>
    <d v="2017-04-05T00:00:00"/>
    <s v="22C0319969"/>
    <x v="31"/>
    <x v="0"/>
    <x v="2"/>
    <n v="2300"/>
    <n v="2300"/>
    <n v="0"/>
    <n v="0"/>
    <n v="0"/>
    <n v="0"/>
    <n v="0"/>
    <n v="0"/>
    <n v="25"/>
    <s v="30 Days"/>
    <d v="2017-04-30T00:00:00"/>
    <s v="AI"/>
    <m/>
    <m/>
    <m/>
    <m/>
    <m/>
    <m/>
    <s v="4041696793"/>
  </r>
  <r>
    <s v="E2C1137729"/>
    <d v="2017-04-10T00:00:00"/>
    <s v="22C0320990"/>
    <x v="32"/>
    <x v="0"/>
    <x v="2"/>
    <n v="2300"/>
    <n v="2300"/>
    <n v="0"/>
    <n v="0"/>
    <n v="0"/>
    <n v="0"/>
    <n v="0"/>
    <n v="0"/>
    <n v="20"/>
    <s v="30 Days"/>
    <d v="2017-04-30T00:00:00"/>
    <s v="AI"/>
    <m/>
    <m/>
    <m/>
    <m/>
    <m/>
    <m/>
    <s v="4395876574"/>
  </r>
  <r>
    <s v="E2C1123423"/>
    <d v="2017-03-03T00:00:00"/>
    <s v="22C0316275"/>
    <x v="12"/>
    <x v="0"/>
    <x v="7"/>
    <n v="2300"/>
    <n v="0"/>
    <n v="0"/>
    <n v="2300"/>
    <n v="0"/>
    <n v="0"/>
    <n v="0"/>
    <n v="0"/>
    <n v="58"/>
    <s v="46 To 60 Days"/>
    <d v="2017-04-30T00:00:00"/>
    <s v="AI"/>
    <m/>
    <m/>
    <m/>
    <m/>
    <m/>
    <m/>
    <s v="4570269231"/>
  </r>
  <r>
    <s v="E2C1137564"/>
    <d v="2017-04-10T00:00:00"/>
    <s v="22C0320938"/>
    <x v="33"/>
    <x v="0"/>
    <x v="2"/>
    <n v="2329"/>
    <n v="2329"/>
    <n v="0"/>
    <n v="0"/>
    <n v="0"/>
    <n v="0"/>
    <n v="0"/>
    <n v="0"/>
    <n v="20"/>
    <s v="30 Days"/>
    <d v="2017-04-30T00:00:00"/>
    <s v="AI"/>
    <m/>
    <m/>
    <m/>
    <m/>
    <m/>
    <m/>
    <s v="419747228"/>
  </r>
  <r>
    <s v="E2C1128505"/>
    <d v="2017-03-18T00:00:00"/>
    <s v="22C0317991"/>
    <x v="12"/>
    <x v="0"/>
    <x v="7"/>
    <n v="2329"/>
    <n v="0"/>
    <n v="2329"/>
    <n v="0"/>
    <n v="0"/>
    <n v="0"/>
    <n v="0"/>
    <n v="0"/>
    <n v="43"/>
    <s v="31 TO 45 Days"/>
    <d v="2017-04-30T00:00:00"/>
    <s v="AI"/>
    <m/>
    <m/>
    <m/>
    <m/>
    <m/>
    <m/>
    <s v="4570270203"/>
  </r>
  <r>
    <s v="E2C1139675"/>
    <d v="2017-04-15T00:00:00"/>
    <s v="22C0321559"/>
    <x v="33"/>
    <x v="0"/>
    <x v="2"/>
    <n v="2330"/>
    <n v="2330"/>
    <n v="0"/>
    <n v="0"/>
    <n v="0"/>
    <n v="0"/>
    <n v="0"/>
    <n v="0"/>
    <n v="15"/>
    <s v="30 Days"/>
    <d v="2017-04-30T00:00:00"/>
    <s v="AI"/>
    <m/>
    <m/>
    <m/>
    <m/>
    <m/>
    <m/>
    <s v="4220331066"/>
  </r>
  <r>
    <s v="E2C1136105"/>
    <d v="2017-04-05T00:00:00"/>
    <s v="22C0320462"/>
    <x v="34"/>
    <x v="0"/>
    <x v="2"/>
    <n v="2346"/>
    <n v="2346"/>
    <n v="0"/>
    <n v="0"/>
    <n v="0"/>
    <n v="0"/>
    <n v="0"/>
    <n v="0"/>
    <n v="25"/>
    <s v="30 Days"/>
    <d v="2017-04-30T00:00:00"/>
    <s v="AI"/>
    <m/>
    <m/>
    <m/>
    <m/>
    <m/>
    <m/>
    <s v="417268500"/>
  </r>
  <r>
    <s v="E2C1105677"/>
    <d v="2017-01-12T00:00:00"/>
    <s v="22C0310075"/>
    <x v="35"/>
    <x v="0"/>
    <x v="3"/>
    <n v="2415"/>
    <n v="0"/>
    <n v="0"/>
    <n v="0"/>
    <n v="0"/>
    <n v="2415"/>
    <n v="0"/>
    <n v="2415"/>
    <n v="108"/>
    <s v="91 To 120 Days"/>
    <d v="2017-04-30T00:00:00"/>
    <s v="AI"/>
    <m/>
    <m/>
    <m/>
    <m/>
    <m/>
    <m/>
    <s v="42J0199166"/>
  </r>
  <r>
    <s v="15425-94748"/>
    <d v="2017-03-18T00:00:00"/>
    <s v="15425-94748"/>
    <x v="36"/>
    <x v="0"/>
    <x v="2"/>
    <n v="2490"/>
    <n v="0"/>
    <n v="2490"/>
    <n v="0"/>
    <n v="0"/>
    <n v="0"/>
    <n v="0"/>
    <n v="0"/>
    <n v="43"/>
    <s v="31 TO 45 Days"/>
    <d v="2017-04-30T00:00:00"/>
    <s v="AI"/>
    <m/>
    <m/>
    <m/>
    <m/>
    <m/>
    <m/>
    <m/>
  </r>
  <r>
    <s v="E2C1018550"/>
    <d v="2016-05-12T00:00:00"/>
    <s v="22C0285376"/>
    <x v="2"/>
    <x v="0"/>
    <x v="2"/>
    <n v="2494"/>
    <n v="0"/>
    <n v="0"/>
    <n v="0"/>
    <n v="0"/>
    <n v="0"/>
    <n v="2494"/>
    <n v="2494"/>
    <n v="353"/>
    <s v="Plus120Days"/>
    <d v="2017-04-30T00:00:00"/>
    <s v="AI"/>
    <m/>
    <m/>
    <m/>
    <m/>
    <m/>
    <m/>
    <s v="4711166445"/>
  </r>
  <r>
    <s v="E2C1138055"/>
    <d v="2017-04-11T00:00:00"/>
    <s v="22C0321042"/>
    <x v="37"/>
    <x v="0"/>
    <x v="15"/>
    <n v="2498"/>
    <n v="2498"/>
    <n v="0"/>
    <n v="0"/>
    <n v="0"/>
    <n v="0"/>
    <n v="0"/>
    <n v="0"/>
    <n v="19"/>
    <s v="30 Days"/>
    <d v="2017-04-30T00:00:00"/>
    <s v="AI"/>
    <m/>
    <m/>
    <m/>
    <m/>
    <m/>
    <m/>
    <s v="4520085461"/>
  </r>
  <r>
    <s v="E2C1138326"/>
    <d v="2017-04-11T00:00:00"/>
    <s v="22C0320999"/>
    <x v="38"/>
    <x v="0"/>
    <x v="2"/>
    <n v="2521"/>
    <n v="2521"/>
    <n v="0"/>
    <n v="0"/>
    <n v="0"/>
    <n v="0"/>
    <n v="0"/>
    <n v="0"/>
    <n v="19"/>
    <s v="30 Days"/>
    <d v="2017-04-30T00:00:00"/>
    <s v="AI"/>
    <m/>
    <m/>
    <m/>
    <m/>
    <m/>
    <m/>
    <s v="4030310025"/>
  </r>
  <r>
    <s v="E2C1139676"/>
    <d v="2017-04-15T00:00:00"/>
    <s v="22C0321560"/>
    <x v="33"/>
    <x v="0"/>
    <x v="2"/>
    <n v="2551"/>
    <n v="2551"/>
    <n v="0"/>
    <n v="0"/>
    <n v="0"/>
    <n v="0"/>
    <n v="0"/>
    <n v="0"/>
    <n v="15"/>
    <s v="30 Days"/>
    <d v="2017-04-30T00:00:00"/>
    <s v="AI"/>
    <m/>
    <m/>
    <m/>
    <m/>
    <m/>
    <m/>
    <s v="4220331090"/>
  </r>
  <r>
    <s v="E2C1128188"/>
    <d v="2017-03-17T00:00:00"/>
    <s v="22C0318092"/>
    <x v="21"/>
    <x v="0"/>
    <x v="13"/>
    <n v="2576"/>
    <n v="0"/>
    <n v="2576"/>
    <n v="0"/>
    <n v="0"/>
    <n v="0"/>
    <n v="0"/>
    <n v="0"/>
    <n v="44"/>
    <s v="31 TO 45 Days"/>
    <d v="2017-04-30T00:00:00"/>
    <s v="AI"/>
    <m/>
    <m/>
    <m/>
    <m/>
    <m/>
    <m/>
    <s v="4052207528"/>
  </r>
  <r>
    <s v="E2C1138599"/>
    <d v="2017-04-12T00:00:00"/>
    <s v="22C0320724"/>
    <x v="39"/>
    <x v="0"/>
    <x v="9"/>
    <n v="2576"/>
    <n v="2576"/>
    <n v="0"/>
    <n v="0"/>
    <n v="0"/>
    <n v="0"/>
    <n v="0"/>
    <n v="0"/>
    <n v="18"/>
    <s v="30 Days"/>
    <d v="2017-04-30T00:00:00"/>
    <s v="AI"/>
    <m/>
    <m/>
    <m/>
    <m/>
    <m/>
    <m/>
    <s v="4170206029"/>
  </r>
  <r>
    <s v="E2C1139679"/>
    <d v="2017-04-15T00:00:00"/>
    <s v="22C0321717"/>
    <x v="40"/>
    <x v="0"/>
    <x v="2"/>
    <n v="2576"/>
    <n v="2576"/>
    <n v="0"/>
    <n v="0"/>
    <n v="0"/>
    <n v="0"/>
    <n v="0"/>
    <n v="0"/>
    <n v="15"/>
    <s v="30 Days"/>
    <d v="2017-04-30T00:00:00"/>
    <s v="AI"/>
    <m/>
    <m/>
    <m/>
    <m/>
    <m/>
    <m/>
    <s v="4921041550"/>
  </r>
  <r>
    <s v="E2C1139256"/>
    <d v="2017-04-13T00:00:00"/>
    <s v="22C0321390"/>
    <x v="41"/>
    <x v="0"/>
    <x v="19"/>
    <n v="2600"/>
    <n v="2600"/>
    <n v="0"/>
    <n v="0"/>
    <n v="0"/>
    <n v="0"/>
    <n v="0"/>
    <n v="0"/>
    <n v="17"/>
    <s v="30 Days"/>
    <d v="2017-04-30T00:00:00"/>
    <s v="AI"/>
    <m/>
    <m/>
    <m/>
    <m/>
    <m/>
    <m/>
    <s v="4831173073"/>
  </r>
  <r>
    <s v="E2C1139677"/>
    <d v="2017-04-15T00:00:00"/>
    <s v="22C0321704"/>
    <x v="42"/>
    <x v="0"/>
    <x v="2"/>
    <n v="2625"/>
    <n v="2625"/>
    <n v="0"/>
    <n v="0"/>
    <n v="0"/>
    <n v="0"/>
    <n v="0"/>
    <n v="0"/>
    <n v="15"/>
    <s v="30 Days"/>
    <d v="2017-04-30T00:00:00"/>
    <s v="AI"/>
    <m/>
    <m/>
    <m/>
    <m/>
    <m/>
    <m/>
    <s v="4170206436"/>
  </r>
  <r>
    <s v="E2C1138596"/>
    <d v="2017-04-12T00:00:00"/>
    <s v="22C0320723"/>
    <x v="39"/>
    <x v="0"/>
    <x v="9"/>
    <n v="2643"/>
    <n v="2643"/>
    <n v="0"/>
    <n v="0"/>
    <n v="0"/>
    <n v="0"/>
    <n v="0"/>
    <n v="0"/>
    <n v="18"/>
    <s v="30 Days"/>
    <d v="2017-04-30T00:00:00"/>
    <s v="AI"/>
    <m/>
    <m/>
    <m/>
    <m/>
    <m/>
    <m/>
    <s v="4170206028"/>
  </r>
  <r>
    <s v="E2C1139746"/>
    <d v="2017-04-15T00:00:00"/>
    <s v="22C0321470"/>
    <x v="43"/>
    <x v="0"/>
    <x v="2"/>
    <n v="2668"/>
    <n v="2668"/>
    <n v="0"/>
    <n v="0"/>
    <n v="0"/>
    <n v="0"/>
    <n v="0"/>
    <n v="0"/>
    <n v="15"/>
    <s v="30 Days"/>
    <d v="2017-04-30T00:00:00"/>
    <s v="AI"/>
    <m/>
    <m/>
    <m/>
    <m/>
    <m/>
    <m/>
    <s v="4912921265"/>
  </r>
  <r>
    <s v="E2C1136482"/>
    <d v="2017-04-06T00:00:00"/>
    <s v="22C0320687"/>
    <x v="44"/>
    <x v="0"/>
    <x v="2"/>
    <n v="2691"/>
    <n v="2691"/>
    <n v="0"/>
    <n v="0"/>
    <n v="0"/>
    <n v="0"/>
    <n v="0"/>
    <n v="0"/>
    <n v="24"/>
    <s v="30 Days"/>
    <d v="2017-04-30T00:00:00"/>
    <s v="AI"/>
    <m/>
    <m/>
    <m/>
    <m/>
    <m/>
    <m/>
    <s v="4080253527"/>
  </r>
  <r>
    <s v="E2C1138571"/>
    <d v="2017-04-12T00:00:00"/>
    <s v="22C0321316"/>
    <x v="45"/>
    <x v="0"/>
    <x v="2"/>
    <n v="2691"/>
    <n v="2691"/>
    <n v="0"/>
    <n v="0"/>
    <n v="0"/>
    <n v="0"/>
    <n v="0"/>
    <n v="0"/>
    <n v="18"/>
    <s v="30 Days"/>
    <d v="2017-04-30T00:00:00"/>
    <s v="AI"/>
    <m/>
    <m/>
    <m/>
    <m/>
    <m/>
    <m/>
    <s v="4912921169"/>
  </r>
  <r>
    <s v="E2C1113823"/>
    <d v="2017-02-03T00:00:00"/>
    <s v="22C0312745"/>
    <x v="46"/>
    <x v="0"/>
    <x v="2"/>
    <n v="2855"/>
    <n v="0"/>
    <n v="0"/>
    <n v="0"/>
    <n v="2855"/>
    <n v="0"/>
    <n v="0"/>
    <n v="2855"/>
    <n v="86"/>
    <s v="61 To 90 Days"/>
    <d v="2017-04-30T00:00:00"/>
    <s v="AI"/>
    <m/>
    <m/>
    <m/>
    <m/>
    <m/>
    <m/>
    <s v="4300209755"/>
  </r>
  <r>
    <s v="E2C1122413"/>
    <d v="2017-02-28T00:00:00"/>
    <s v="22C0314116"/>
    <x v="47"/>
    <x v="0"/>
    <x v="17"/>
    <n v="2875"/>
    <n v="0"/>
    <n v="0"/>
    <n v="0"/>
    <n v="2875"/>
    <n v="0"/>
    <n v="0"/>
    <n v="2875"/>
    <n v="61"/>
    <s v="61 To 90 Days"/>
    <d v="2017-04-30T00:00:00"/>
    <s v="AI"/>
    <m/>
    <m/>
    <m/>
    <m/>
    <m/>
    <m/>
    <s v="4540130196"/>
  </r>
  <r>
    <s v="E2C1136488"/>
    <d v="2017-04-06T00:00:00"/>
    <s v="22C0320661"/>
    <x v="47"/>
    <x v="0"/>
    <x v="17"/>
    <n v="2875"/>
    <n v="2875"/>
    <n v="0"/>
    <n v="0"/>
    <n v="0"/>
    <n v="0"/>
    <n v="0"/>
    <n v="0"/>
    <n v="24"/>
    <s v="30 Days"/>
    <d v="2017-04-30T00:00:00"/>
    <s v="AI"/>
    <m/>
    <m/>
    <m/>
    <m/>
    <m/>
    <m/>
    <s v="4540131594"/>
  </r>
  <r>
    <s v="E2C1137491"/>
    <d v="2017-04-10T00:00:00"/>
    <s v="22C0321115"/>
    <x v="47"/>
    <x v="0"/>
    <x v="17"/>
    <n v="2875"/>
    <n v="2875"/>
    <n v="0"/>
    <n v="0"/>
    <n v="0"/>
    <n v="0"/>
    <n v="0"/>
    <n v="0"/>
    <n v="20"/>
    <s v="30 Days"/>
    <d v="2017-04-30T00:00:00"/>
    <s v="AI"/>
    <m/>
    <m/>
    <m/>
    <m/>
    <m/>
    <m/>
    <s v="4170206157"/>
  </r>
  <r>
    <s v="E2C1138565"/>
    <d v="2017-04-12T00:00:00"/>
    <s v="22C0321278"/>
    <x v="48"/>
    <x v="0"/>
    <x v="2"/>
    <n v="2921"/>
    <n v="2921"/>
    <n v="0"/>
    <n v="0"/>
    <n v="0"/>
    <n v="0"/>
    <n v="0"/>
    <n v="0"/>
    <n v="18"/>
    <s v="30 Days"/>
    <d v="2017-04-30T00:00:00"/>
    <s v="AI"/>
    <m/>
    <m/>
    <m/>
    <m/>
    <m/>
    <m/>
    <s v="4711239087"/>
  </r>
  <r>
    <s v="E2C1137632"/>
    <d v="2017-04-10T00:00:00"/>
    <s v="22C0320394"/>
    <x v="47"/>
    <x v="0"/>
    <x v="17"/>
    <n v="2936"/>
    <n v="2936"/>
    <n v="0"/>
    <n v="0"/>
    <n v="0"/>
    <n v="0"/>
    <n v="0"/>
    <n v="0"/>
    <n v="20"/>
    <s v="30 Days"/>
    <d v="2017-04-30T00:00:00"/>
    <s v="AI"/>
    <m/>
    <m/>
    <m/>
    <m/>
    <m/>
    <m/>
    <s v="4750389573"/>
  </r>
  <r>
    <s v="E2C1108692"/>
    <d v="2017-01-20T00:00:00"/>
    <s v="22C0311594"/>
    <x v="49"/>
    <x v="0"/>
    <x v="20"/>
    <n v="2950"/>
    <n v="0"/>
    <n v="0"/>
    <n v="0"/>
    <n v="0"/>
    <n v="2950"/>
    <n v="0"/>
    <n v="2950"/>
    <n v="100"/>
    <s v="91 To 120 Days"/>
    <d v="2017-04-30T00:00:00"/>
    <s v="AI"/>
    <m/>
    <m/>
    <m/>
    <m/>
    <m/>
    <m/>
    <s v="4320102903"/>
  </r>
  <r>
    <s v="E2C1137300"/>
    <d v="2017-04-07T00:00:00"/>
    <s v="22C0320777"/>
    <x v="50"/>
    <x v="0"/>
    <x v="2"/>
    <n v="3003"/>
    <n v="3003"/>
    <n v="0"/>
    <n v="0"/>
    <n v="0"/>
    <n v="0"/>
    <n v="0"/>
    <n v="0"/>
    <n v="23"/>
    <s v="30 Days"/>
    <d v="2017-04-30T00:00:00"/>
    <s v="AI"/>
    <m/>
    <m/>
    <m/>
    <m/>
    <m/>
    <m/>
    <s v="4400190504"/>
  </r>
  <r>
    <s v="E2C1115556"/>
    <d v="2017-02-09T00:00:00"/>
    <s v="22C0313033"/>
    <x v="49"/>
    <x v="0"/>
    <x v="20"/>
    <n v="3007"/>
    <n v="0"/>
    <n v="0"/>
    <n v="0"/>
    <n v="3007"/>
    <n v="0"/>
    <n v="0"/>
    <n v="3007"/>
    <n v="80"/>
    <s v="61 To 90 Days"/>
    <d v="2017-04-30T00:00:00"/>
    <s v="AI"/>
    <m/>
    <m/>
    <m/>
    <m/>
    <m/>
    <m/>
    <s v="4320102335"/>
  </r>
  <r>
    <s v="E2C1125632"/>
    <d v="2017-03-10T00:00:00"/>
    <s v="22C0304381"/>
    <x v="51"/>
    <x v="0"/>
    <x v="3"/>
    <n v="3048"/>
    <n v="0"/>
    <n v="0"/>
    <n v="3048"/>
    <n v="0"/>
    <n v="0"/>
    <n v="0"/>
    <n v="0"/>
    <n v="51"/>
    <s v="46 To 60 Days"/>
    <d v="2017-04-30T00:00:00"/>
    <s v="AI"/>
    <m/>
    <m/>
    <m/>
    <m/>
    <m/>
    <m/>
    <s v="4190206428"/>
  </r>
  <r>
    <s v="E2C1125633"/>
    <d v="2017-03-10T00:00:00"/>
    <s v="22C0304382"/>
    <x v="51"/>
    <x v="0"/>
    <x v="3"/>
    <n v="3048"/>
    <n v="0"/>
    <n v="0"/>
    <n v="3048"/>
    <n v="0"/>
    <n v="0"/>
    <n v="0"/>
    <n v="0"/>
    <n v="51"/>
    <s v="46 To 60 Days"/>
    <d v="2017-04-30T00:00:00"/>
    <s v="AI"/>
    <m/>
    <m/>
    <m/>
    <m/>
    <m/>
    <m/>
    <s v="4190207082"/>
  </r>
  <r>
    <s v="E2C1128392"/>
    <d v="2017-03-18T00:00:00"/>
    <s v="22C0317792"/>
    <x v="15"/>
    <x v="0"/>
    <x v="8"/>
    <n v="3073"/>
    <n v="0"/>
    <n v="3073"/>
    <n v="0"/>
    <n v="0"/>
    <n v="0"/>
    <n v="0"/>
    <n v="0"/>
    <n v="43"/>
    <s v="31 TO 45 Days"/>
    <d v="2017-04-30T00:00:00"/>
    <s v="AI"/>
    <m/>
    <m/>
    <m/>
    <m/>
    <m/>
    <m/>
    <s v="4711236141"/>
  </r>
  <r>
    <s v="E2C1125317"/>
    <d v="2017-03-09T00:00:00"/>
    <s v="22C0316732"/>
    <x v="15"/>
    <x v="0"/>
    <x v="8"/>
    <n v="3128"/>
    <n v="0"/>
    <n v="0"/>
    <n v="3128"/>
    <n v="0"/>
    <n v="0"/>
    <n v="0"/>
    <n v="0"/>
    <n v="52"/>
    <s v="46 To 60 Days"/>
    <d v="2017-04-30T00:00:00"/>
    <s v="AI"/>
    <m/>
    <m/>
    <m/>
    <m/>
    <m/>
    <m/>
    <s v="415952932"/>
  </r>
  <r>
    <s v="E2C1131963"/>
    <d v="2017-03-27T00:00:00"/>
    <s v="22C0318833"/>
    <x v="52"/>
    <x v="0"/>
    <x v="1"/>
    <n v="3151"/>
    <n v="0"/>
    <n v="3151"/>
    <n v="0"/>
    <n v="0"/>
    <n v="0"/>
    <n v="0"/>
    <n v="0"/>
    <n v="34"/>
    <s v="31 TO 45 Days"/>
    <d v="2017-04-30T00:00:00"/>
    <s v="AI"/>
    <m/>
    <m/>
    <m/>
    <m/>
    <m/>
    <m/>
    <s v="4170205247"/>
  </r>
  <r>
    <s v="E2C1137307"/>
    <d v="2017-04-07T00:00:00"/>
    <s v="22C0320252"/>
    <x v="52"/>
    <x v="0"/>
    <x v="1"/>
    <n v="3151"/>
    <n v="3151"/>
    <n v="0"/>
    <n v="0"/>
    <n v="0"/>
    <n v="0"/>
    <n v="0"/>
    <n v="0"/>
    <n v="23"/>
    <s v="30 Days"/>
    <d v="2017-04-30T00:00:00"/>
    <s v="AI"/>
    <m/>
    <m/>
    <m/>
    <m/>
    <m/>
    <m/>
    <s v="4170205852"/>
  </r>
  <r>
    <s v="E2C1092222"/>
    <d v="2016-12-06T00:00:00"/>
    <s v="22C0305746"/>
    <x v="15"/>
    <x v="0"/>
    <x v="8"/>
    <n v="3202"/>
    <n v="0"/>
    <n v="0"/>
    <n v="0"/>
    <n v="0"/>
    <n v="0"/>
    <n v="3202"/>
    <n v="3202"/>
    <n v="145"/>
    <s v="Plus120Days"/>
    <d v="2017-04-30T00:00:00"/>
    <s v="AI"/>
    <m/>
    <m/>
    <m/>
    <m/>
    <m/>
    <m/>
    <s v="4395796391"/>
  </r>
  <r>
    <s v="E2C1131605"/>
    <d v="2017-03-25T00:00:00"/>
    <s v="22C0319267"/>
    <x v="17"/>
    <x v="0"/>
    <x v="10"/>
    <n v="3264"/>
    <n v="0"/>
    <n v="3264"/>
    <n v="0"/>
    <n v="0"/>
    <n v="0"/>
    <n v="0"/>
    <n v="0"/>
    <n v="36"/>
    <s v="31 TO 45 Days"/>
    <d v="2017-04-30T00:00:00"/>
    <s v="AI"/>
    <m/>
    <m/>
    <m/>
    <m/>
    <m/>
    <m/>
    <s v="4030303815"/>
  </r>
  <r>
    <s v="E2C1135499"/>
    <d v="2017-04-03T00:00:00"/>
    <s v="22C0320338"/>
    <x v="9"/>
    <x v="0"/>
    <x v="2"/>
    <n v="3489"/>
    <n v="3489"/>
    <n v="0"/>
    <n v="0"/>
    <n v="0"/>
    <n v="0"/>
    <n v="0"/>
    <n v="0"/>
    <n v="27"/>
    <s v="30 Days"/>
    <d v="2017-04-30T00:00:00"/>
    <s v="AI"/>
    <m/>
    <m/>
    <m/>
    <m/>
    <m/>
    <m/>
    <s v="4052210359"/>
  </r>
  <r>
    <s v="E2C1137489"/>
    <d v="2017-04-10T00:00:00"/>
    <s v="22C0320598"/>
    <x v="38"/>
    <x v="0"/>
    <x v="2"/>
    <n v="3526"/>
    <n v="3526"/>
    <n v="0"/>
    <n v="0"/>
    <n v="0"/>
    <n v="0"/>
    <n v="0"/>
    <n v="0"/>
    <n v="20"/>
    <s v="30 Days"/>
    <d v="2017-04-30T00:00:00"/>
    <s v="AI"/>
    <m/>
    <m/>
    <m/>
    <m/>
    <m/>
    <m/>
    <s v="4030309712"/>
  </r>
  <r>
    <s v="E2C1133112"/>
    <d v="2017-03-30T00:00:00"/>
    <s v="22C0319321"/>
    <x v="53"/>
    <x v="0"/>
    <x v="1"/>
    <n v="3649"/>
    <n v="0"/>
    <n v="3649"/>
    <n v="0"/>
    <n v="0"/>
    <n v="0"/>
    <n v="0"/>
    <n v="0"/>
    <n v="31"/>
    <s v="31 TO 45 Days"/>
    <d v="2017-04-30T00:00:00"/>
    <s v="AI"/>
    <m/>
    <m/>
    <m/>
    <m/>
    <m/>
    <m/>
    <s v="4540131371"/>
  </r>
  <r>
    <s v="E2C1113570"/>
    <d v="2017-02-02T00:00:00"/>
    <s v="22C0312941"/>
    <x v="54"/>
    <x v="0"/>
    <x v="2"/>
    <n v="3664"/>
    <n v="0"/>
    <n v="0"/>
    <n v="0"/>
    <n v="3664"/>
    <n v="0"/>
    <n v="0"/>
    <n v="3664"/>
    <n v="87"/>
    <s v="61 To 90 Days"/>
    <d v="2017-04-30T00:00:00"/>
    <s v="AI"/>
    <m/>
    <m/>
    <m/>
    <m/>
    <m/>
    <m/>
    <s v="4570267957"/>
  </r>
  <r>
    <s v="E2C1137301"/>
    <d v="2017-04-07T00:00:00"/>
    <s v="22C0320244"/>
    <x v="52"/>
    <x v="0"/>
    <x v="1"/>
    <n v="3726"/>
    <n v="3726"/>
    <n v="0"/>
    <n v="0"/>
    <n v="0"/>
    <n v="0"/>
    <n v="0"/>
    <n v="0"/>
    <n v="23"/>
    <s v="30 Days"/>
    <d v="2017-04-30T00:00:00"/>
    <s v="AI"/>
    <m/>
    <m/>
    <m/>
    <m/>
    <m/>
    <m/>
    <s v="4170205933"/>
  </r>
  <r>
    <s v="E2C1137993"/>
    <d v="2017-04-11T00:00:00"/>
    <s v="22C0321183"/>
    <x v="55"/>
    <x v="0"/>
    <x v="2"/>
    <n v="3726"/>
    <n v="3726"/>
    <n v="0"/>
    <n v="0"/>
    <n v="0"/>
    <n v="0"/>
    <n v="0"/>
    <n v="0"/>
    <n v="19"/>
    <s v="30 Days"/>
    <d v="2017-04-30T00:00:00"/>
    <s v="AI"/>
    <m/>
    <m/>
    <m/>
    <m/>
    <m/>
    <m/>
    <s v="4580119891"/>
  </r>
  <r>
    <s v="E2C1137507"/>
    <d v="2017-04-10T00:00:00"/>
    <s v="22C0321068"/>
    <x v="56"/>
    <x v="0"/>
    <x v="2"/>
    <n v="3726"/>
    <n v="3726"/>
    <n v="0"/>
    <n v="0"/>
    <n v="0"/>
    <n v="0"/>
    <n v="0"/>
    <n v="0"/>
    <n v="20"/>
    <s v="30 Days"/>
    <d v="2017-04-30T00:00:00"/>
    <s v="AI"/>
    <m/>
    <m/>
    <m/>
    <m/>
    <m/>
    <m/>
    <s v="4921041495"/>
  </r>
  <r>
    <s v="E2C1135276"/>
    <d v="2017-04-03T00:00:00"/>
    <s v="22C0320314"/>
    <x v="57"/>
    <x v="0"/>
    <x v="9"/>
    <n v="3741"/>
    <n v="3741"/>
    <n v="0"/>
    <n v="0"/>
    <n v="0"/>
    <n v="0"/>
    <n v="0"/>
    <n v="0"/>
    <n v="27"/>
    <s v="30 Days"/>
    <d v="2017-04-30T00:00:00"/>
    <s v="AI"/>
    <m/>
    <m/>
    <m/>
    <m/>
    <m/>
    <m/>
    <s v="423610457"/>
  </r>
  <r>
    <s v="E2C1121462"/>
    <d v="2017-02-27T00:00:00"/>
    <s v="22C0315566"/>
    <x v="54"/>
    <x v="0"/>
    <x v="2"/>
    <n v="3763"/>
    <n v="0"/>
    <n v="0"/>
    <n v="0"/>
    <n v="3763"/>
    <n v="0"/>
    <n v="0"/>
    <n v="3763"/>
    <n v="62"/>
    <s v="61 To 90 Days"/>
    <d v="2017-04-30T00:00:00"/>
    <s v="AI"/>
    <m/>
    <m/>
    <m/>
    <m/>
    <m/>
    <m/>
    <s v="4570269301"/>
  </r>
  <r>
    <s v="E2C1133603"/>
    <d v="2017-03-30T00:00:00"/>
    <s v="22C0319577"/>
    <x v="10"/>
    <x v="0"/>
    <x v="5"/>
    <n v="3782"/>
    <n v="0"/>
    <n v="3782"/>
    <n v="0"/>
    <n v="0"/>
    <n v="0"/>
    <n v="0"/>
    <n v="0"/>
    <n v="31"/>
    <s v="31 TO 45 Days"/>
    <d v="2017-04-30T00:00:00"/>
    <s v="AI"/>
    <m/>
    <m/>
    <m/>
    <m/>
    <m/>
    <m/>
    <s v="4912905241"/>
  </r>
  <r>
    <s v="E2C1139805"/>
    <d v="2017-04-15T00:00:00"/>
    <s v="22C0321379"/>
    <x v="58"/>
    <x v="0"/>
    <x v="1"/>
    <n v="3794"/>
    <n v="3794"/>
    <n v="0"/>
    <n v="0"/>
    <n v="0"/>
    <n v="0"/>
    <n v="0"/>
    <n v="0"/>
    <n v="15"/>
    <s v="30 Days"/>
    <d v="2017-04-30T00:00:00"/>
    <s v="AI"/>
    <m/>
    <m/>
    <m/>
    <m/>
    <m/>
    <m/>
    <s v="423610598"/>
  </r>
  <r>
    <s v="E2C1135015"/>
    <d v="2017-04-01T00:00:00"/>
    <s v="22C0319096"/>
    <x v="59"/>
    <x v="0"/>
    <x v="21"/>
    <n v="3794"/>
    <n v="3794"/>
    <n v="0"/>
    <n v="0"/>
    <n v="0"/>
    <n v="0"/>
    <n v="0"/>
    <n v="0"/>
    <n v="29"/>
    <s v="30 Days"/>
    <d v="2017-04-30T00:00:00"/>
    <s v="AI"/>
    <m/>
    <m/>
    <m/>
    <m/>
    <m/>
    <m/>
    <s v="4220330355"/>
  </r>
  <r>
    <s v="E2C1128469"/>
    <d v="2017-03-18T00:00:00"/>
    <s v="22C0317448"/>
    <x v="59"/>
    <x v="0"/>
    <x v="21"/>
    <n v="3841"/>
    <n v="0"/>
    <n v="3841"/>
    <n v="0"/>
    <n v="0"/>
    <n v="0"/>
    <n v="0"/>
    <n v="0"/>
    <n v="43"/>
    <s v="31 TO 45 Days"/>
    <d v="2017-04-30T00:00:00"/>
    <s v="AI"/>
    <m/>
    <m/>
    <m/>
    <m/>
    <m/>
    <m/>
    <s v="414434243"/>
  </r>
  <r>
    <s v="E2C1138564"/>
    <d v="2017-04-12T00:00:00"/>
    <s v="22C0321343"/>
    <x v="17"/>
    <x v="0"/>
    <x v="10"/>
    <n v="3856"/>
    <n v="3856"/>
    <n v="0"/>
    <n v="0"/>
    <n v="0"/>
    <n v="0"/>
    <n v="0"/>
    <n v="0"/>
    <n v="18"/>
    <s v="30 Days"/>
    <d v="2017-04-30T00:00:00"/>
    <s v="AI"/>
    <m/>
    <m/>
    <m/>
    <m/>
    <m/>
    <m/>
    <s v="4030303913"/>
  </r>
  <r>
    <s v="E2C1125126"/>
    <d v="2017-03-09T00:00:00"/>
    <s v="22C0317009"/>
    <x v="17"/>
    <x v="0"/>
    <x v="10"/>
    <n v="3950"/>
    <n v="0"/>
    <n v="0"/>
    <n v="3950"/>
    <n v="0"/>
    <n v="0"/>
    <n v="0"/>
    <n v="0"/>
    <n v="52"/>
    <s v="46 To 60 Days"/>
    <d v="2017-04-30T00:00:00"/>
    <s v="AI"/>
    <m/>
    <m/>
    <m/>
    <m/>
    <m/>
    <m/>
    <s v="4030307758"/>
  </r>
  <r>
    <s v="E2C1132285"/>
    <d v="2017-03-28T00:00:00"/>
    <s v="22C0318348"/>
    <x v="60"/>
    <x v="0"/>
    <x v="22"/>
    <n v="3964"/>
    <n v="0"/>
    <n v="3964"/>
    <n v="0"/>
    <n v="0"/>
    <n v="0"/>
    <n v="0"/>
    <n v="0"/>
    <n v="33"/>
    <s v="31 TO 45 Days"/>
    <d v="2017-04-30T00:00:00"/>
    <s v="AI"/>
    <m/>
    <m/>
    <m/>
    <m/>
    <m/>
    <m/>
    <s v="4170205082"/>
  </r>
  <r>
    <s v="E2C1112775"/>
    <d v="2017-01-31T00:00:00"/>
    <s v="22C0312599"/>
    <x v="61"/>
    <x v="0"/>
    <x v="2"/>
    <n v="4001"/>
    <n v="0"/>
    <n v="0"/>
    <n v="0"/>
    <n v="4001"/>
    <n v="0"/>
    <n v="0"/>
    <n v="4001"/>
    <n v="89"/>
    <s v="61 To 90 Days"/>
    <d v="2017-04-30T00:00:00"/>
    <s v="AI"/>
    <m/>
    <m/>
    <m/>
    <m/>
    <m/>
    <m/>
    <s v="4711226053"/>
  </r>
  <r>
    <s v="E2C1115405"/>
    <d v="2017-02-08T00:00:00"/>
    <s v="22C0313073"/>
    <x v="54"/>
    <x v="0"/>
    <x v="2"/>
    <n v="4012"/>
    <n v="0"/>
    <n v="0"/>
    <n v="0"/>
    <n v="4012"/>
    <n v="0"/>
    <n v="0"/>
    <n v="4012"/>
    <n v="81"/>
    <s v="61 To 90 Days"/>
    <d v="2017-04-30T00:00:00"/>
    <s v="AI"/>
    <m/>
    <m/>
    <m/>
    <m/>
    <m/>
    <m/>
    <s v="4570268003"/>
  </r>
  <r>
    <s v="E2C1107355"/>
    <d v="2017-01-18T00:00:00"/>
    <s v="22C0311366"/>
    <x v="62"/>
    <x v="0"/>
    <x v="2"/>
    <n v="4054"/>
    <n v="0"/>
    <n v="0"/>
    <n v="0"/>
    <n v="0"/>
    <n v="4054"/>
    <n v="0"/>
    <n v="4054"/>
    <n v="102"/>
    <s v="91 To 120 Days"/>
    <d v="2017-04-30T00:00:00"/>
    <s v="AI"/>
    <m/>
    <m/>
    <m/>
    <m/>
    <m/>
    <m/>
    <s v="3520019568"/>
  </r>
  <r>
    <s v="E2C1128379"/>
    <d v="2017-03-18T00:00:00"/>
    <s v="22C0318025"/>
    <x v="63"/>
    <x v="0"/>
    <x v="7"/>
    <n v="4069"/>
    <n v="0"/>
    <n v="4069"/>
    <n v="0"/>
    <n v="0"/>
    <n v="0"/>
    <n v="0"/>
    <n v="0"/>
    <n v="43"/>
    <s v="31 TO 45 Days"/>
    <d v="2017-04-30T00:00:00"/>
    <s v="AI"/>
    <m/>
    <m/>
    <m/>
    <m/>
    <m/>
    <m/>
    <s v="416619039"/>
  </r>
  <r>
    <s v="E2C1107472"/>
    <d v="2017-01-18T00:00:00"/>
    <s v="22C0310804"/>
    <x v="61"/>
    <x v="0"/>
    <x v="2"/>
    <n v="4073"/>
    <n v="0"/>
    <n v="0"/>
    <n v="0"/>
    <n v="0"/>
    <n v="4073"/>
    <n v="0"/>
    <n v="4073"/>
    <n v="102"/>
    <s v="91 To 120 Days"/>
    <d v="2017-04-30T00:00:00"/>
    <s v="AI"/>
    <m/>
    <m/>
    <m/>
    <m/>
    <m/>
    <m/>
    <s v="4711222422"/>
  </r>
  <r>
    <s v="E2C1130147"/>
    <d v="2017-03-22T00:00:00"/>
    <s v="22C0318743"/>
    <x v="17"/>
    <x v="0"/>
    <x v="10"/>
    <n v="4084"/>
    <n v="0"/>
    <n v="4084"/>
    <n v="0"/>
    <n v="0"/>
    <n v="0"/>
    <n v="0"/>
    <n v="0"/>
    <n v="39"/>
    <s v="31 TO 45 Days"/>
    <d v="2017-04-30T00:00:00"/>
    <s v="AI"/>
    <m/>
    <m/>
    <m/>
    <m/>
    <m/>
    <m/>
    <s v="4030303802"/>
  </r>
  <r>
    <s v="E2C1115432"/>
    <d v="2017-02-08T00:00:00"/>
    <s v="22C0313488"/>
    <x v="54"/>
    <x v="0"/>
    <x v="2"/>
    <n v="4105"/>
    <n v="0"/>
    <n v="0"/>
    <n v="0"/>
    <n v="4105"/>
    <n v="0"/>
    <n v="0"/>
    <n v="4105"/>
    <n v="81"/>
    <s v="61 To 90 Days"/>
    <d v="2017-04-30T00:00:00"/>
    <s v="AI"/>
    <m/>
    <m/>
    <m/>
    <m/>
    <m/>
    <m/>
    <s v="4570268202"/>
  </r>
  <r>
    <s v="E2C1124882"/>
    <d v="2017-03-08T00:00:00"/>
    <s v="22C0316330"/>
    <x v="61"/>
    <x v="0"/>
    <x v="2"/>
    <n v="4110"/>
    <n v="0"/>
    <n v="0"/>
    <n v="4110"/>
    <n v="0"/>
    <n v="0"/>
    <n v="0"/>
    <n v="0"/>
    <n v="53"/>
    <s v="46 To 60 Days"/>
    <d v="2017-04-30T00:00:00"/>
    <s v="AI"/>
    <m/>
    <m/>
    <m/>
    <m/>
    <m/>
    <m/>
    <s v="4711233601"/>
  </r>
  <r>
    <s v="E2C1130217"/>
    <d v="2017-03-22T00:00:00"/>
    <s v="22C0317831"/>
    <x v="54"/>
    <x v="0"/>
    <x v="2"/>
    <n v="4139"/>
    <n v="0"/>
    <n v="4139"/>
    <n v="0"/>
    <n v="0"/>
    <n v="0"/>
    <n v="0"/>
    <n v="0"/>
    <n v="39"/>
    <s v="31 TO 45 Days"/>
    <d v="2017-04-30T00:00:00"/>
    <s v="AI"/>
    <m/>
    <m/>
    <m/>
    <m/>
    <m/>
    <m/>
    <s v="4570269863"/>
  </r>
  <r>
    <s v="E2C1136500"/>
    <d v="2017-04-06T00:00:00"/>
    <s v="22C0319466"/>
    <x v="64"/>
    <x v="0"/>
    <x v="2"/>
    <n v="4140"/>
    <n v="4140"/>
    <n v="0"/>
    <n v="0"/>
    <n v="0"/>
    <n v="0"/>
    <n v="0"/>
    <n v="0"/>
    <n v="24"/>
    <s v="30 Days"/>
    <d v="2017-04-30T00:00:00"/>
    <s v="AI"/>
    <m/>
    <m/>
    <m/>
    <m/>
    <m/>
    <m/>
    <s v="4921041360"/>
  </r>
  <r>
    <s v="E2C1135944"/>
    <d v="2017-04-05T00:00:00"/>
    <s v="22C0320435"/>
    <x v="63"/>
    <x v="0"/>
    <x v="7"/>
    <n v="4143"/>
    <n v="4143"/>
    <n v="0"/>
    <n v="0"/>
    <n v="0"/>
    <n v="0"/>
    <n v="0"/>
    <n v="0"/>
    <n v="25"/>
    <s v="30 Days"/>
    <d v="2017-04-30T00:00:00"/>
    <s v="AI"/>
    <m/>
    <m/>
    <m/>
    <m/>
    <m/>
    <m/>
    <s v="416619242"/>
  </r>
  <r>
    <s v="E2C1137510"/>
    <d v="2017-04-10T00:00:00"/>
    <s v="22C0321069"/>
    <x v="65"/>
    <x v="0"/>
    <x v="2"/>
    <n v="4156"/>
    <n v="4156"/>
    <n v="0"/>
    <n v="0"/>
    <n v="0"/>
    <n v="0"/>
    <n v="0"/>
    <n v="0"/>
    <n v="20"/>
    <s v="30 Days"/>
    <d v="2017-04-30T00:00:00"/>
    <s v="AI"/>
    <m/>
    <m/>
    <m/>
    <m/>
    <m/>
    <m/>
    <s v="4921041496"/>
  </r>
  <r>
    <s v="E2C1104364"/>
    <d v="2017-01-09T00:00:00"/>
    <s v="22C0310001"/>
    <x v="54"/>
    <x v="0"/>
    <x v="2"/>
    <n v="4222"/>
    <n v="0"/>
    <n v="0"/>
    <n v="0"/>
    <n v="0"/>
    <n v="4222"/>
    <n v="0"/>
    <n v="4222"/>
    <n v="111"/>
    <s v="91 To 120 Days"/>
    <d v="2017-04-30T00:00:00"/>
    <s v="AI"/>
    <m/>
    <m/>
    <m/>
    <m/>
    <m/>
    <m/>
    <s v="4570266888"/>
  </r>
  <r>
    <s v="E2C1116658"/>
    <d v="2017-02-13T00:00:00"/>
    <s v="22C0313858"/>
    <x v="54"/>
    <x v="0"/>
    <x v="2"/>
    <n v="4223"/>
    <n v="0"/>
    <n v="0"/>
    <n v="0"/>
    <n v="4223"/>
    <n v="0"/>
    <n v="0"/>
    <n v="4223"/>
    <n v="76"/>
    <s v="61 To 90 Days"/>
    <d v="2017-04-30T00:00:00"/>
    <s v="AI"/>
    <m/>
    <m/>
    <m/>
    <m/>
    <m/>
    <m/>
    <s v="4570268472"/>
  </r>
  <r>
    <s v="E2C1116662"/>
    <d v="2017-02-13T00:00:00"/>
    <s v="22C0313859"/>
    <x v="54"/>
    <x v="0"/>
    <x v="2"/>
    <n v="4223"/>
    <n v="0"/>
    <n v="0"/>
    <n v="0"/>
    <n v="4223"/>
    <n v="0"/>
    <n v="0"/>
    <n v="4223"/>
    <n v="76"/>
    <s v="61 To 90 Days"/>
    <d v="2017-04-30T00:00:00"/>
    <s v="AI"/>
    <m/>
    <m/>
    <m/>
    <m/>
    <m/>
    <m/>
    <s v="4570268473"/>
  </r>
  <r>
    <s v="C12989120"/>
    <d v="2017-02-02T00:00:00"/>
    <s v="22C0312388"/>
    <x v="66"/>
    <x v="0"/>
    <x v="1"/>
    <n v="4230"/>
    <n v="0"/>
    <n v="0"/>
    <n v="0"/>
    <n v="4230"/>
    <n v="0"/>
    <n v="0"/>
    <n v="4230"/>
    <n v="87"/>
    <s v="61 To 90 Days"/>
    <d v="2017-04-30T00:00:00"/>
    <s v="AI"/>
    <m/>
    <m/>
    <m/>
    <m/>
    <m/>
    <m/>
    <s v="4431566597"/>
  </r>
  <r>
    <s v="E2C1131281"/>
    <d v="2017-03-24T00:00:00"/>
    <s v="22C0318037"/>
    <x v="61"/>
    <x v="0"/>
    <x v="2"/>
    <n v="4314"/>
    <n v="0"/>
    <n v="4314"/>
    <n v="0"/>
    <n v="0"/>
    <n v="0"/>
    <n v="0"/>
    <n v="0"/>
    <n v="37"/>
    <s v="31 TO 45 Days"/>
    <d v="2017-04-30T00:00:00"/>
    <s v="AI"/>
    <m/>
    <m/>
    <m/>
    <m/>
    <m/>
    <m/>
    <s v="4711236696"/>
  </r>
  <r>
    <s v="E2C1120458"/>
    <d v="2017-02-24T00:00:00"/>
    <s v="22C0315432"/>
    <x v="54"/>
    <x v="0"/>
    <x v="2"/>
    <n v="4316"/>
    <n v="0"/>
    <n v="0"/>
    <n v="0"/>
    <n v="4316"/>
    <n v="0"/>
    <n v="0"/>
    <n v="4316"/>
    <n v="65"/>
    <s v="61 To 90 Days"/>
    <d v="2017-04-30T00:00:00"/>
    <s v="AI"/>
    <m/>
    <m/>
    <m/>
    <m/>
    <m/>
    <m/>
    <s v="4570269152"/>
  </r>
  <r>
    <s v="E2C1101123"/>
    <d v="2016-12-30T00:00:00"/>
    <s v="22C0309391"/>
    <x v="7"/>
    <x v="0"/>
    <x v="4"/>
    <n v="4322"/>
    <n v="0"/>
    <n v="0"/>
    <n v="0"/>
    <n v="0"/>
    <n v="0"/>
    <n v="4322"/>
    <n v="4322"/>
    <n v="121"/>
    <s v="Plus120Days"/>
    <d v="2017-04-30T00:00:00"/>
    <s v="AI"/>
    <m/>
    <m/>
    <m/>
    <s v="EDI - Sent"/>
    <m/>
    <m/>
    <s v="4711218945"/>
  </r>
  <r>
    <s v="E2C1133228"/>
    <d v="2017-03-30T00:00:00"/>
    <s v="22C0319523"/>
    <x v="67"/>
    <x v="0"/>
    <x v="17"/>
    <n v="4335"/>
    <n v="0"/>
    <n v="4335"/>
    <n v="0"/>
    <n v="0"/>
    <n v="0"/>
    <n v="0"/>
    <n v="0"/>
    <n v="31"/>
    <s v="31 TO 45 Days"/>
    <d v="2017-04-30T00:00:00"/>
    <s v="AI"/>
    <m/>
    <m/>
    <m/>
    <m/>
    <m/>
    <m/>
    <s v="4540131321"/>
  </r>
  <r>
    <s v="E2C1124890"/>
    <d v="2017-03-08T00:00:00"/>
    <s v="22C0316654"/>
    <x v="61"/>
    <x v="0"/>
    <x v="2"/>
    <n v="4347"/>
    <n v="0"/>
    <n v="0"/>
    <n v="4347"/>
    <n v="0"/>
    <n v="0"/>
    <n v="0"/>
    <n v="0"/>
    <n v="53"/>
    <s v="46 To 60 Days"/>
    <d v="2017-04-30T00:00:00"/>
    <s v="AI"/>
    <m/>
    <m/>
    <m/>
    <m/>
    <m/>
    <m/>
    <s v="4711234278"/>
  </r>
  <r>
    <s v="E2C1099803"/>
    <d v="2016-12-28T00:00:00"/>
    <s v="22C0308827"/>
    <x v="7"/>
    <x v="0"/>
    <x v="4"/>
    <n v="4371"/>
    <n v="0"/>
    <n v="0"/>
    <n v="0"/>
    <n v="0"/>
    <n v="0"/>
    <n v="4371"/>
    <n v="4371"/>
    <n v="123"/>
    <s v="Plus120Days"/>
    <d v="2017-04-30T00:00:00"/>
    <s v="AI"/>
    <m/>
    <m/>
    <m/>
    <s v="EDI - Sent"/>
    <m/>
    <m/>
    <s v="4711217750"/>
  </r>
  <r>
    <s v="E2C1135683"/>
    <d v="2017-04-04T00:00:00"/>
    <s v="22C0319740"/>
    <x v="68"/>
    <x v="0"/>
    <x v="23"/>
    <n v="4383"/>
    <n v="4383"/>
    <n v="0"/>
    <n v="0"/>
    <n v="0"/>
    <n v="0"/>
    <n v="0"/>
    <n v="0"/>
    <n v="26"/>
    <s v="30 Days"/>
    <d v="2017-04-30T00:00:00"/>
    <s v="AI"/>
    <m/>
    <m/>
    <m/>
    <m/>
    <m/>
    <m/>
    <s v="413044532"/>
  </r>
  <r>
    <s v="E2C1098632"/>
    <d v="2016-12-24T00:00:00"/>
    <s v="22C0307938"/>
    <x v="7"/>
    <x v="0"/>
    <x v="4"/>
    <n v="4383"/>
    <n v="0"/>
    <n v="0"/>
    <n v="0"/>
    <n v="0"/>
    <n v="0"/>
    <n v="4383"/>
    <n v="4383"/>
    <n v="127"/>
    <s v="Plus120Days"/>
    <d v="2017-04-30T00:00:00"/>
    <s v="AI"/>
    <m/>
    <m/>
    <m/>
    <s v="EDI - Sent"/>
    <m/>
    <m/>
    <s v="4711216381"/>
  </r>
  <r>
    <s v="E2C1098633"/>
    <d v="2016-12-24T00:00:00"/>
    <s v="22C0307939"/>
    <x v="7"/>
    <x v="0"/>
    <x v="4"/>
    <n v="4383"/>
    <n v="0"/>
    <n v="0"/>
    <n v="0"/>
    <n v="0"/>
    <n v="0"/>
    <n v="4383"/>
    <n v="4383"/>
    <n v="127"/>
    <s v="Plus120Days"/>
    <d v="2017-04-30T00:00:00"/>
    <s v="AI"/>
    <m/>
    <m/>
    <m/>
    <s v="EDI - Sent"/>
    <m/>
    <m/>
    <s v="4711216383"/>
  </r>
  <r>
    <s v="E2C1137697"/>
    <d v="2017-04-10T00:00:00"/>
    <s v="22C0320568"/>
    <x v="61"/>
    <x v="0"/>
    <x v="2"/>
    <n v="4402"/>
    <n v="4402"/>
    <n v="0"/>
    <n v="0"/>
    <n v="0"/>
    <n v="0"/>
    <n v="0"/>
    <n v="0"/>
    <n v="20"/>
    <s v="30 Days"/>
    <d v="2017-04-30T00:00:00"/>
    <s v="AI"/>
    <m/>
    <m/>
    <m/>
    <m/>
    <m/>
    <m/>
    <s v="4711241256"/>
  </r>
  <r>
    <s v="E2C1098593"/>
    <d v="2016-12-24T00:00:00"/>
    <s v="22C0308447"/>
    <x v="7"/>
    <x v="0"/>
    <x v="4"/>
    <n v="4403"/>
    <n v="0"/>
    <n v="0"/>
    <n v="0"/>
    <n v="0"/>
    <n v="0"/>
    <n v="4403"/>
    <n v="4403"/>
    <n v="127"/>
    <s v="Plus120Days"/>
    <d v="2017-04-30T00:00:00"/>
    <s v="AI"/>
    <m/>
    <m/>
    <m/>
    <s v="EDI - Sent"/>
    <m/>
    <m/>
    <s v="4711216372"/>
  </r>
  <r>
    <s v="E2C1129374"/>
    <d v="2017-03-21T00:00:00"/>
    <s v="22C0316760"/>
    <x v="69"/>
    <x v="0"/>
    <x v="2"/>
    <n v="4440"/>
    <n v="0"/>
    <n v="4440"/>
    <n v="0"/>
    <n v="0"/>
    <n v="0"/>
    <n v="0"/>
    <n v="0"/>
    <n v="40"/>
    <s v="31 TO 45 Days"/>
    <d v="2017-04-30T00:00:00"/>
    <s v="AI"/>
    <m/>
    <m/>
    <m/>
    <m/>
    <m/>
    <m/>
    <s v="4750387616"/>
  </r>
  <r>
    <s v="E2C1098608"/>
    <d v="2016-12-24T00:00:00"/>
    <s v="22C0308467"/>
    <x v="7"/>
    <x v="0"/>
    <x v="4"/>
    <n v="4444"/>
    <n v="0"/>
    <n v="0"/>
    <n v="0"/>
    <n v="0"/>
    <n v="0"/>
    <n v="4444"/>
    <n v="4444"/>
    <n v="127"/>
    <s v="Plus120Days"/>
    <d v="2017-04-30T00:00:00"/>
    <s v="AI"/>
    <m/>
    <m/>
    <m/>
    <s v="EDI - Sent"/>
    <m/>
    <m/>
    <s v="4711216937"/>
  </r>
  <r>
    <s v="E2C1136177"/>
    <d v="2017-04-05T00:00:00"/>
    <s v="22C0320296"/>
    <x v="70"/>
    <x v="0"/>
    <x v="7"/>
    <n v="4465"/>
    <n v="4465"/>
    <n v="0"/>
    <n v="0"/>
    <n v="0"/>
    <n v="0"/>
    <n v="0"/>
    <n v="0"/>
    <n v="25"/>
    <s v="30 Days"/>
    <d v="2017-04-30T00:00:00"/>
    <s v="AI"/>
    <m/>
    <m/>
    <m/>
    <m/>
    <m/>
    <m/>
    <s v="4540131614"/>
  </r>
  <r>
    <s v="E2C1101102"/>
    <d v="2016-12-30T00:00:00"/>
    <s v="22C0309129"/>
    <x v="7"/>
    <x v="0"/>
    <x v="4"/>
    <n v="4465"/>
    <n v="0"/>
    <n v="0"/>
    <n v="0"/>
    <n v="0"/>
    <n v="0"/>
    <n v="4465"/>
    <n v="4465"/>
    <n v="121"/>
    <s v="Plus120Days"/>
    <d v="2017-04-30T00:00:00"/>
    <s v="AI"/>
    <m/>
    <m/>
    <m/>
    <s v="EDI - Sent"/>
    <m/>
    <m/>
    <s v="4711218501"/>
  </r>
  <r>
    <s v="E2C1127505"/>
    <d v="2017-03-16T00:00:00"/>
    <s v="22C0316933"/>
    <x v="61"/>
    <x v="0"/>
    <x v="2"/>
    <n v="4476"/>
    <n v="0"/>
    <n v="4476"/>
    <n v="0"/>
    <n v="0"/>
    <n v="0"/>
    <n v="0"/>
    <n v="0"/>
    <n v="45"/>
    <s v="31 TO 45 Days"/>
    <d v="2017-04-30T00:00:00"/>
    <s v="AI"/>
    <m/>
    <m/>
    <m/>
    <m/>
    <m/>
    <m/>
    <s v="4711234735"/>
  </r>
  <r>
    <s v="E2C1123812"/>
    <d v="2017-03-04T00:00:00"/>
    <s v="22C0316108"/>
    <x v="70"/>
    <x v="0"/>
    <x v="7"/>
    <n v="4481"/>
    <n v="0"/>
    <n v="0"/>
    <n v="4481"/>
    <n v="0"/>
    <n v="0"/>
    <n v="0"/>
    <n v="0"/>
    <n v="57"/>
    <s v="46 To 60 Days"/>
    <d v="2017-04-30T00:00:00"/>
    <s v="AI"/>
    <m/>
    <m/>
    <m/>
    <m/>
    <m/>
    <m/>
    <s v="4540130629"/>
  </r>
  <r>
    <s v="E2C1130216"/>
    <d v="2017-03-22T00:00:00"/>
    <s v="22C0317889"/>
    <x v="54"/>
    <x v="0"/>
    <x v="2"/>
    <n v="4492"/>
    <n v="0"/>
    <n v="4492"/>
    <n v="0"/>
    <n v="0"/>
    <n v="0"/>
    <n v="0"/>
    <n v="0"/>
    <n v="39"/>
    <s v="31 TO 45 Days"/>
    <d v="2017-04-30T00:00:00"/>
    <s v="AI"/>
    <m/>
    <m/>
    <m/>
    <m/>
    <m/>
    <m/>
    <s v="4570270210"/>
  </r>
  <r>
    <s v="E2C1112716"/>
    <d v="2017-01-31T00:00:00"/>
    <s v="22C0312638"/>
    <x v="61"/>
    <x v="0"/>
    <x v="2"/>
    <n v="4532"/>
    <n v="0"/>
    <n v="0"/>
    <n v="0"/>
    <n v="4532"/>
    <n v="0"/>
    <n v="0"/>
    <n v="4532"/>
    <n v="89"/>
    <s v="61 To 90 Days"/>
    <d v="2017-04-30T00:00:00"/>
    <s v="AI"/>
    <m/>
    <m/>
    <m/>
    <m/>
    <m/>
    <m/>
    <s v="4912867246"/>
  </r>
  <r>
    <s v="E2C1107382"/>
    <d v="2017-01-18T00:00:00"/>
    <s v="22C0311007"/>
    <x v="54"/>
    <x v="0"/>
    <x v="2"/>
    <n v="4542"/>
    <n v="0"/>
    <n v="0"/>
    <n v="0"/>
    <n v="0"/>
    <n v="4542"/>
    <n v="0"/>
    <n v="4542"/>
    <n v="102"/>
    <s v="91 To 120 Days"/>
    <d v="2017-04-30T00:00:00"/>
    <s v="AI"/>
    <m/>
    <m/>
    <m/>
    <m/>
    <m/>
    <m/>
    <s v="4570267167"/>
  </r>
  <r>
    <s v="E2C1123802"/>
    <d v="2017-03-04T00:00:00"/>
    <s v="22C0316339"/>
    <x v="54"/>
    <x v="0"/>
    <x v="2"/>
    <n v="4566"/>
    <n v="0"/>
    <n v="0"/>
    <n v="4566"/>
    <n v="0"/>
    <n v="0"/>
    <n v="0"/>
    <n v="0"/>
    <n v="57"/>
    <s v="46 To 60 Days"/>
    <d v="2017-04-30T00:00:00"/>
    <s v="AI"/>
    <m/>
    <m/>
    <m/>
    <m/>
    <m/>
    <m/>
    <s v="4570269655"/>
  </r>
  <r>
    <s v="E2C1122841"/>
    <d v="2017-03-01T00:00:00"/>
    <s v="22C0313441"/>
    <x v="67"/>
    <x v="0"/>
    <x v="17"/>
    <n v="4567"/>
    <n v="0"/>
    <n v="0"/>
    <n v="4567"/>
    <n v="0"/>
    <n v="0"/>
    <n v="0"/>
    <n v="0"/>
    <n v="60"/>
    <s v="46 To 60 Days"/>
    <d v="2017-04-30T00:00:00"/>
    <s v="AI"/>
    <m/>
    <m/>
    <m/>
    <m/>
    <m/>
    <m/>
    <s v="417268007"/>
  </r>
  <r>
    <s v="E2C1136176"/>
    <d v="2017-04-05T00:00:00"/>
    <s v="22C0320291"/>
    <x v="70"/>
    <x v="0"/>
    <x v="7"/>
    <n v="4619"/>
    <n v="4619"/>
    <n v="0"/>
    <n v="0"/>
    <n v="0"/>
    <n v="0"/>
    <n v="0"/>
    <n v="0"/>
    <n v="25"/>
    <s v="30 Days"/>
    <d v="2017-04-30T00:00:00"/>
    <s v="AI"/>
    <m/>
    <m/>
    <m/>
    <m/>
    <m/>
    <m/>
    <s v="4540131541"/>
  </r>
  <r>
    <s v="E2C1126851"/>
    <d v="2017-03-15T00:00:00"/>
    <s v="22C0317347"/>
    <x v="24"/>
    <x v="0"/>
    <x v="16"/>
    <n v="4627"/>
    <n v="0"/>
    <n v="0"/>
    <n v="4627"/>
    <n v="0"/>
    <n v="0"/>
    <n v="0"/>
    <n v="0"/>
    <n v="46"/>
    <s v="46 To 60 Days"/>
    <d v="2017-04-30T00:00:00"/>
    <s v="AI"/>
    <m/>
    <m/>
    <m/>
    <m/>
    <m/>
    <m/>
    <s v="4812074031"/>
  </r>
  <r>
    <s v="E2C1132444"/>
    <d v="2017-03-28T00:00:00"/>
    <s v="22C0318810"/>
    <x v="10"/>
    <x v="0"/>
    <x v="5"/>
    <n v="4628"/>
    <n v="0"/>
    <n v="4628"/>
    <n v="0"/>
    <n v="0"/>
    <n v="0"/>
    <n v="0"/>
    <n v="0"/>
    <n v="33"/>
    <s v="31 TO 45 Days"/>
    <d v="2017-04-30T00:00:00"/>
    <s v="AI"/>
    <m/>
    <m/>
    <m/>
    <m/>
    <m/>
    <m/>
    <s v="4912901750"/>
  </r>
  <r>
    <s v="E2C1133599"/>
    <d v="2017-03-30T00:00:00"/>
    <s v="22C0319256"/>
    <x v="10"/>
    <x v="0"/>
    <x v="5"/>
    <n v="4639"/>
    <n v="0"/>
    <n v="4639"/>
    <n v="0"/>
    <n v="0"/>
    <n v="0"/>
    <n v="0"/>
    <n v="0"/>
    <n v="31"/>
    <s v="31 TO 45 Days"/>
    <d v="2017-04-30T00:00:00"/>
    <s v="AI"/>
    <m/>
    <m/>
    <m/>
    <m/>
    <m/>
    <m/>
    <s v="4912903749"/>
  </r>
  <r>
    <s v="E2C1135995"/>
    <d v="2017-04-05T00:00:00"/>
    <s v="22C0318447"/>
    <x v="67"/>
    <x v="0"/>
    <x v="17"/>
    <n v="4652"/>
    <n v="4652"/>
    <n v="0"/>
    <n v="0"/>
    <n v="0"/>
    <n v="0"/>
    <n v="0"/>
    <n v="0"/>
    <n v="25"/>
    <s v="30 Days"/>
    <d v="2017-04-30T00:00:00"/>
    <s v="AI"/>
    <m/>
    <m/>
    <m/>
    <m/>
    <m/>
    <m/>
    <s v="417268370"/>
  </r>
  <r>
    <s v="E2C1131068"/>
    <d v="2017-03-24T00:00:00"/>
    <s v="22C0317710"/>
    <x v="10"/>
    <x v="0"/>
    <x v="5"/>
    <n v="4662"/>
    <n v="0"/>
    <n v="4662"/>
    <n v="0"/>
    <n v="0"/>
    <n v="0"/>
    <n v="0"/>
    <n v="0"/>
    <n v="37"/>
    <s v="31 TO 45 Days"/>
    <d v="2017-04-30T00:00:00"/>
    <s v="AI"/>
    <m/>
    <m/>
    <m/>
    <m/>
    <m/>
    <m/>
    <s v="4912895980"/>
  </r>
  <r>
    <s v="E2C1129684"/>
    <d v="2017-03-21T00:00:00"/>
    <s v="22C0318154"/>
    <x v="71"/>
    <x v="0"/>
    <x v="2"/>
    <n v="4689"/>
    <n v="0"/>
    <n v="4689"/>
    <n v="0"/>
    <n v="0"/>
    <n v="0"/>
    <n v="0"/>
    <n v="0"/>
    <n v="40"/>
    <s v="31 TO 45 Days"/>
    <d v="2017-04-30T00:00:00"/>
    <s v="AI"/>
    <m/>
    <m/>
    <m/>
    <m/>
    <m/>
    <m/>
    <s v="4840401914"/>
  </r>
  <r>
    <s v="E2C1131029"/>
    <d v="2017-03-24T00:00:00"/>
    <s v="22C0318416"/>
    <x v="10"/>
    <x v="0"/>
    <x v="5"/>
    <n v="4690"/>
    <n v="0"/>
    <n v="4690"/>
    <n v="0"/>
    <n v="0"/>
    <n v="0"/>
    <n v="0"/>
    <n v="0"/>
    <n v="37"/>
    <s v="31 TO 45 Days"/>
    <d v="2017-04-30T00:00:00"/>
    <s v="AI"/>
    <m/>
    <m/>
    <m/>
    <m/>
    <m/>
    <m/>
    <s v="4912900807"/>
  </r>
  <r>
    <s v="E2C1130056"/>
    <d v="2017-03-22T00:00:00"/>
    <s v="22C0318291"/>
    <x v="54"/>
    <x v="0"/>
    <x v="2"/>
    <n v="4691"/>
    <n v="0"/>
    <n v="4691"/>
    <n v="0"/>
    <n v="0"/>
    <n v="0"/>
    <n v="0"/>
    <n v="0"/>
    <n v="39"/>
    <s v="31 TO 45 Days"/>
    <d v="2017-04-30T00:00:00"/>
    <s v="AI"/>
    <m/>
    <m/>
    <m/>
    <m/>
    <m/>
    <m/>
    <s v="4540131099"/>
  </r>
  <r>
    <s v="E2C1128852"/>
    <d v="2017-03-20T00:00:00"/>
    <s v="22C0318388"/>
    <x v="24"/>
    <x v="0"/>
    <x v="16"/>
    <n v="4691"/>
    <n v="0"/>
    <n v="4691"/>
    <n v="0"/>
    <n v="0"/>
    <n v="0"/>
    <n v="0"/>
    <n v="0"/>
    <n v="41"/>
    <s v="31 TO 45 Days"/>
    <d v="2017-04-30T00:00:00"/>
    <s v="AI"/>
    <m/>
    <m/>
    <m/>
    <m/>
    <m/>
    <m/>
    <s v="4041695221"/>
  </r>
  <r>
    <s v="E2C1132448"/>
    <d v="2017-03-28T00:00:00"/>
    <s v="22C0318819"/>
    <x v="10"/>
    <x v="0"/>
    <x v="5"/>
    <n v="4694"/>
    <n v="0"/>
    <n v="4694"/>
    <n v="0"/>
    <n v="0"/>
    <n v="0"/>
    <n v="0"/>
    <n v="0"/>
    <n v="33"/>
    <s v="31 TO 45 Days"/>
    <d v="2017-04-30T00:00:00"/>
    <s v="AI"/>
    <m/>
    <m/>
    <m/>
    <m/>
    <m/>
    <m/>
    <s v="4912903153"/>
  </r>
  <r>
    <s v="E2C1107034"/>
    <d v="2017-01-17T00:00:00"/>
    <s v="22C0311015"/>
    <x v="7"/>
    <x v="0"/>
    <x v="4"/>
    <n v="4705"/>
    <n v="0"/>
    <n v="0"/>
    <n v="0"/>
    <n v="0"/>
    <n v="4705"/>
    <n v="0"/>
    <n v="4705"/>
    <n v="103"/>
    <s v="91 To 120 Days"/>
    <d v="2017-04-30T00:00:00"/>
    <s v="AI"/>
    <m/>
    <m/>
    <m/>
    <s v="EDI - Sent"/>
    <m/>
    <m/>
    <s v="4520085003"/>
  </r>
  <r>
    <s v="E2C1139723"/>
    <d v="2017-04-15T00:00:00"/>
    <s v="22C0321705"/>
    <x v="72"/>
    <x v="0"/>
    <x v="2"/>
    <n v="4715"/>
    <n v="4715"/>
    <n v="0"/>
    <n v="0"/>
    <n v="0"/>
    <n v="0"/>
    <n v="0"/>
    <n v="0"/>
    <n v="15"/>
    <s v="30 Days"/>
    <d v="2017-04-30T00:00:00"/>
    <s v="AI"/>
    <m/>
    <m/>
    <m/>
    <m/>
    <m/>
    <m/>
    <s v="417470662"/>
  </r>
  <r>
    <s v="E2C1138575"/>
    <d v="2017-04-12T00:00:00"/>
    <s v="22C0321291"/>
    <x v="73"/>
    <x v="0"/>
    <x v="2"/>
    <n v="4715"/>
    <n v="4715"/>
    <n v="0"/>
    <n v="0"/>
    <n v="0"/>
    <n v="0"/>
    <n v="0"/>
    <n v="0"/>
    <n v="18"/>
    <s v="30 Days"/>
    <d v="2017-04-30T00:00:00"/>
    <s v="AI"/>
    <m/>
    <m/>
    <m/>
    <m/>
    <m/>
    <m/>
    <s v="4400190799"/>
  </r>
  <r>
    <s v="E2C1134833"/>
    <d v="2017-04-01T00:00:00"/>
    <s v="22C0319686"/>
    <x v="74"/>
    <x v="0"/>
    <x v="2"/>
    <n v="4715"/>
    <n v="4715"/>
    <n v="0"/>
    <n v="0"/>
    <n v="0"/>
    <n v="0"/>
    <n v="0"/>
    <n v="0"/>
    <n v="29"/>
    <s v="30 Days"/>
    <d v="2017-04-30T00:00:00"/>
    <s v="AI"/>
    <m/>
    <m/>
    <m/>
    <m/>
    <m/>
    <m/>
    <s v="4100145129"/>
  </r>
  <r>
    <s v="E2C1107387"/>
    <d v="2017-01-18T00:00:00"/>
    <s v="22C0311018"/>
    <x v="54"/>
    <x v="0"/>
    <x v="2"/>
    <n v="4729"/>
    <n v="0"/>
    <n v="0"/>
    <n v="0"/>
    <n v="0"/>
    <n v="4729"/>
    <n v="0"/>
    <n v="4729"/>
    <n v="102"/>
    <s v="91 To 120 Days"/>
    <d v="2017-04-30T00:00:00"/>
    <s v="AI"/>
    <m/>
    <m/>
    <m/>
    <m/>
    <m/>
    <m/>
    <s v="4540129482"/>
  </r>
  <r>
    <s v="E2C1133801"/>
    <d v="2017-03-30T00:00:00"/>
    <s v="22C0317855"/>
    <x v="69"/>
    <x v="0"/>
    <x v="2"/>
    <n v="4729"/>
    <n v="0"/>
    <n v="4729"/>
    <n v="0"/>
    <n v="0"/>
    <n v="0"/>
    <n v="0"/>
    <n v="0"/>
    <n v="31"/>
    <s v="31 TO 45 Days"/>
    <d v="2017-04-30T00:00:00"/>
    <s v="AI"/>
    <m/>
    <m/>
    <m/>
    <m/>
    <m/>
    <m/>
    <s v="4540131036"/>
  </r>
  <r>
    <s v="E2C1134185"/>
    <d v="2017-03-31T00:00:00"/>
    <s v="22C0317014"/>
    <x v="69"/>
    <x v="0"/>
    <x v="2"/>
    <n v="4729"/>
    <n v="4729"/>
    <n v="0"/>
    <n v="0"/>
    <n v="0"/>
    <n v="0"/>
    <n v="0"/>
    <n v="0"/>
    <n v="30"/>
    <s v="30 Days"/>
    <d v="2017-04-30T00:00:00"/>
    <s v="AI"/>
    <m/>
    <m/>
    <m/>
    <m/>
    <m/>
    <m/>
    <s v="4540130736"/>
  </r>
  <r>
    <s v="E2C1133622"/>
    <d v="2017-03-30T00:00:00"/>
    <s v="22C0319582"/>
    <x v="10"/>
    <x v="0"/>
    <x v="5"/>
    <n v="4750"/>
    <n v="0"/>
    <n v="4750"/>
    <n v="0"/>
    <n v="0"/>
    <n v="0"/>
    <n v="0"/>
    <n v="0"/>
    <n v="31"/>
    <s v="31 TO 45 Days"/>
    <d v="2017-04-30T00:00:00"/>
    <s v="AI"/>
    <m/>
    <m/>
    <m/>
    <m/>
    <m/>
    <m/>
    <s v="4912905613"/>
  </r>
  <r>
    <s v="E2C1122845"/>
    <d v="2017-03-01T00:00:00"/>
    <s v="22C0314548"/>
    <x v="67"/>
    <x v="0"/>
    <x v="17"/>
    <n v="4771"/>
    <n v="0"/>
    <n v="0"/>
    <n v="4771"/>
    <n v="0"/>
    <n v="0"/>
    <n v="0"/>
    <n v="0"/>
    <n v="60"/>
    <s v="46 To 60 Days"/>
    <d v="2017-04-30T00:00:00"/>
    <s v="AI"/>
    <m/>
    <m/>
    <m/>
    <m/>
    <m/>
    <m/>
    <s v="417268099"/>
  </r>
  <r>
    <s v="E2C1131050"/>
    <d v="2017-03-24T00:00:00"/>
    <s v="22C0318564"/>
    <x v="10"/>
    <x v="0"/>
    <x v="5"/>
    <n v="4773"/>
    <n v="0"/>
    <n v="4773"/>
    <n v="0"/>
    <n v="0"/>
    <n v="0"/>
    <n v="0"/>
    <n v="0"/>
    <n v="37"/>
    <s v="31 TO 45 Days"/>
    <d v="2017-04-30T00:00:00"/>
    <s v="AI"/>
    <m/>
    <m/>
    <m/>
    <m/>
    <m/>
    <m/>
    <s v="4912900813"/>
  </r>
  <r>
    <s v="E2C1123404"/>
    <d v="2017-03-03T00:00:00"/>
    <s v="22C0316277"/>
    <x v="69"/>
    <x v="0"/>
    <x v="2"/>
    <n v="4780"/>
    <n v="0"/>
    <n v="0"/>
    <n v="4780"/>
    <n v="0"/>
    <n v="0"/>
    <n v="0"/>
    <n v="0"/>
    <n v="58"/>
    <s v="46 To 60 Days"/>
    <d v="2017-04-30T00:00:00"/>
    <s v="AI"/>
    <m/>
    <m/>
    <m/>
    <m/>
    <m/>
    <m/>
    <s v="4580117973"/>
  </r>
  <r>
    <s v="E2C1123034"/>
    <d v="2017-03-02T00:00:00"/>
    <s v="22C0316197"/>
    <x v="24"/>
    <x v="0"/>
    <x v="16"/>
    <n v="4781"/>
    <n v="0"/>
    <n v="0"/>
    <n v="4781"/>
    <n v="0"/>
    <n v="0"/>
    <n v="0"/>
    <n v="0"/>
    <n v="59"/>
    <s v="46 To 60 Days"/>
    <d v="2017-04-30T00:00:00"/>
    <s v="AI"/>
    <m/>
    <m/>
    <m/>
    <m/>
    <m/>
    <m/>
    <s v="4041693406"/>
  </r>
  <r>
    <s v="E2C1134165"/>
    <d v="2017-03-31T00:00:00"/>
    <s v="22C0306056"/>
    <x v="15"/>
    <x v="0"/>
    <x v="8"/>
    <n v="4783"/>
    <n v="4783"/>
    <n v="0"/>
    <n v="0"/>
    <n v="0"/>
    <n v="0"/>
    <n v="0"/>
    <n v="0"/>
    <n v="30"/>
    <s v="30 Days"/>
    <d v="2017-04-30T00:00:00"/>
    <s v="AI"/>
    <m/>
    <m/>
    <m/>
    <m/>
    <m/>
    <m/>
    <s v="4395796386"/>
  </r>
  <r>
    <s v="E2C1111097"/>
    <d v="2017-01-27T00:00:00"/>
    <s v="22C0312380"/>
    <x v="54"/>
    <x v="0"/>
    <x v="2"/>
    <n v="4792"/>
    <n v="0"/>
    <n v="0"/>
    <n v="0"/>
    <n v="0"/>
    <n v="4792"/>
    <n v="0"/>
    <n v="4792"/>
    <n v="93"/>
    <s v="91 To 120 Days"/>
    <d v="2017-04-30T00:00:00"/>
    <s v="AI"/>
    <m/>
    <m/>
    <m/>
    <m/>
    <m/>
    <m/>
    <s v="4560216738"/>
  </r>
  <r>
    <s v="E2C1126217"/>
    <d v="2017-03-14T00:00:00"/>
    <s v="22C0317072"/>
    <x v="24"/>
    <x v="0"/>
    <x v="16"/>
    <n v="4809"/>
    <n v="0"/>
    <n v="0"/>
    <n v="4809"/>
    <n v="0"/>
    <n v="0"/>
    <n v="0"/>
    <n v="0"/>
    <n v="47"/>
    <s v="46 To 60 Days"/>
    <d v="2017-04-30T00:00:00"/>
    <s v="AI"/>
    <m/>
    <m/>
    <m/>
    <m/>
    <m/>
    <m/>
    <s v="4041694312"/>
  </r>
  <r>
    <s v="E2C1105276"/>
    <d v="2017-01-11T00:00:00"/>
    <s v="22C0310291"/>
    <x v="61"/>
    <x v="0"/>
    <x v="2"/>
    <n v="4813"/>
    <n v="0"/>
    <n v="0"/>
    <n v="0"/>
    <n v="0"/>
    <n v="4813"/>
    <n v="0"/>
    <n v="4813"/>
    <n v="109"/>
    <s v="91 To 120 Days"/>
    <d v="2017-04-30T00:00:00"/>
    <s v="AI"/>
    <m/>
    <m/>
    <m/>
    <m/>
    <m/>
    <m/>
    <s v="4711221379"/>
  </r>
  <r>
    <s v="E2C1114845"/>
    <d v="2017-02-07T00:00:00"/>
    <s v="22C0313350"/>
    <x v="69"/>
    <x v="0"/>
    <x v="2"/>
    <n v="4815"/>
    <n v="0"/>
    <n v="0"/>
    <n v="0"/>
    <n v="4815"/>
    <n v="0"/>
    <n v="0"/>
    <n v="4815"/>
    <n v="82"/>
    <s v="61 To 90 Days"/>
    <d v="2017-04-30T00:00:00"/>
    <s v="AI"/>
    <m/>
    <m/>
    <m/>
    <m/>
    <m/>
    <m/>
    <s v="4580117023"/>
  </r>
  <r>
    <s v="E2C1131069"/>
    <d v="2017-03-24T00:00:00"/>
    <s v="22C0317712"/>
    <x v="10"/>
    <x v="0"/>
    <x v="5"/>
    <n v="4829"/>
    <n v="0"/>
    <n v="4829"/>
    <n v="0"/>
    <n v="0"/>
    <n v="0"/>
    <n v="0"/>
    <n v="0"/>
    <n v="37"/>
    <s v="31 TO 45 Days"/>
    <d v="2017-04-30T00:00:00"/>
    <s v="AI"/>
    <m/>
    <m/>
    <m/>
    <m/>
    <m/>
    <m/>
    <s v="4912895982"/>
  </r>
  <r>
    <s v="E2C1128481"/>
    <d v="2017-03-18T00:00:00"/>
    <s v="22C0318052"/>
    <x v="69"/>
    <x v="0"/>
    <x v="2"/>
    <n v="4830"/>
    <n v="0"/>
    <n v="4830"/>
    <n v="0"/>
    <n v="0"/>
    <n v="0"/>
    <n v="0"/>
    <n v="0"/>
    <n v="43"/>
    <s v="31 TO 45 Days"/>
    <d v="2017-04-30T00:00:00"/>
    <s v="AI"/>
    <m/>
    <m/>
    <m/>
    <m/>
    <m/>
    <m/>
    <s v="4711236866"/>
  </r>
  <r>
    <s v="E2C1128482"/>
    <d v="2017-03-18T00:00:00"/>
    <s v="22C0317058"/>
    <x v="69"/>
    <x v="0"/>
    <x v="2"/>
    <n v="4830"/>
    <n v="0"/>
    <n v="4830"/>
    <n v="0"/>
    <n v="0"/>
    <n v="0"/>
    <n v="0"/>
    <n v="0"/>
    <n v="43"/>
    <s v="31 TO 45 Days"/>
    <d v="2017-04-30T00:00:00"/>
    <s v="AI"/>
    <m/>
    <m/>
    <m/>
    <m/>
    <m/>
    <m/>
    <s v="4711235131"/>
  </r>
  <r>
    <s v="E2C1122838"/>
    <d v="2017-03-01T00:00:00"/>
    <s v="22C0312852"/>
    <x v="67"/>
    <x v="0"/>
    <x v="17"/>
    <n v="4832"/>
    <n v="0"/>
    <n v="0"/>
    <n v="4832"/>
    <n v="0"/>
    <n v="0"/>
    <n v="0"/>
    <n v="0"/>
    <n v="60"/>
    <s v="46 To 60 Days"/>
    <d v="2017-04-30T00:00:00"/>
    <s v="AI"/>
    <m/>
    <m/>
    <m/>
    <m/>
    <m/>
    <m/>
    <s v="417267968"/>
  </r>
  <r>
    <s v="E2C1133087"/>
    <d v="2017-03-30T00:00:00"/>
    <s v="22C0317602"/>
    <x v="67"/>
    <x v="0"/>
    <x v="17"/>
    <n v="4833"/>
    <n v="0"/>
    <n v="4833"/>
    <n v="0"/>
    <n v="0"/>
    <n v="0"/>
    <n v="0"/>
    <n v="0"/>
    <n v="31"/>
    <s v="31 TO 45 Days"/>
    <d v="2017-04-30T00:00:00"/>
    <s v="AI"/>
    <m/>
    <m/>
    <m/>
    <m/>
    <m/>
    <m/>
    <s v="417268320"/>
  </r>
  <r>
    <s v="E2C1121401"/>
    <d v="2017-02-27T00:00:00"/>
    <s v="22C0315715"/>
    <x v="69"/>
    <x v="0"/>
    <x v="2"/>
    <n v="4833"/>
    <n v="0"/>
    <n v="0"/>
    <n v="0"/>
    <n v="4833"/>
    <n v="0"/>
    <n v="0"/>
    <n v="4833"/>
    <n v="62"/>
    <s v="61 To 90 Days"/>
    <d v="2017-04-30T00:00:00"/>
    <s v="AI"/>
    <m/>
    <m/>
    <m/>
    <m/>
    <m/>
    <m/>
    <s v="4580118208"/>
  </r>
  <r>
    <s v="E2C1133088"/>
    <d v="2017-03-30T00:00:00"/>
    <s v="22C0317630"/>
    <x v="67"/>
    <x v="0"/>
    <x v="17"/>
    <n v="4835"/>
    <n v="0"/>
    <n v="4835"/>
    <n v="0"/>
    <n v="0"/>
    <n v="0"/>
    <n v="0"/>
    <n v="0"/>
    <n v="31"/>
    <s v="31 TO 45 Days"/>
    <d v="2017-04-30T00:00:00"/>
    <s v="AI"/>
    <m/>
    <m/>
    <m/>
    <m/>
    <m/>
    <m/>
    <s v="417268308"/>
  </r>
  <r>
    <s v="E2C1098605"/>
    <d v="2016-12-24T00:00:00"/>
    <s v="22C0308459"/>
    <x v="7"/>
    <x v="0"/>
    <x v="4"/>
    <n v="4851"/>
    <n v="0"/>
    <n v="0"/>
    <n v="0"/>
    <n v="0"/>
    <n v="0"/>
    <n v="4851"/>
    <n v="4851"/>
    <n v="127"/>
    <s v="Plus120Days"/>
    <d v="2017-04-30T00:00:00"/>
    <s v="AI"/>
    <m/>
    <m/>
    <m/>
    <s v="EDI - Sent"/>
    <m/>
    <m/>
    <s v="4711217394"/>
  </r>
  <r>
    <s v="E2C1138821"/>
    <d v="2017-04-12T00:00:00"/>
    <s v="22C0320925"/>
    <x v="10"/>
    <x v="0"/>
    <x v="5"/>
    <n v="4855"/>
    <n v="4855"/>
    <n v="0"/>
    <n v="0"/>
    <n v="0"/>
    <n v="0"/>
    <n v="0"/>
    <n v="0"/>
    <n v="18"/>
    <s v="30 Days"/>
    <d v="2017-04-30T00:00:00"/>
    <s v="AI"/>
    <m/>
    <m/>
    <m/>
    <m/>
    <m/>
    <m/>
    <s v="4912916538"/>
  </r>
  <r>
    <s v="E2C1138817"/>
    <d v="2017-04-12T00:00:00"/>
    <s v="22C0320806"/>
    <x v="10"/>
    <x v="0"/>
    <x v="5"/>
    <n v="4857"/>
    <n v="4857"/>
    <n v="0"/>
    <n v="0"/>
    <n v="0"/>
    <n v="0"/>
    <n v="0"/>
    <n v="0"/>
    <n v="18"/>
    <s v="30 Days"/>
    <d v="2017-04-30T00:00:00"/>
    <s v="AI"/>
    <m/>
    <m/>
    <m/>
    <m/>
    <m/>
    <m/>
    <s v="4912913059"/>
  </r>
  <r>
    <s v="E2C1129350"/>
    <d v="2017-03-21T00:00:00"/>
    <s v="22C0318287"/>
    <x v="69"/>
    <x v="0"/>
    <x v="2"/>
    <n v="4857"/>
    <n v="0"/>
    <n v="4857"/>
    <n v="0"/>
    <n v="0"/>
    <n v="0"/>
    <n v="0"/>
    <n v="0"/>
    <n v="40"/>
    <s v="31 TO 45 Days"/>
    <d v="2017-04-30T00:00:00"/>
    <s v="AI"/>
    <m/>
    <m/>
    <m/>
    <m/>
    <m/>
    <m/>
    <s v="4580119015"/>
  </r>
  <r>
    <s v="E2C1131067"/>
    <d v="2017-03-24T00:00:00"/>
    <s v="22C0317956"/>
    <x v="10"/>
    <x v="0"/>
    <x v="5"/>
    <n v="4858"/>
    <n v="0"/>
    <n v="4858"/>
    <n v="0"/>
    <n v="0"/>
    <n v="0"/>
    <n v="0"/>
    <n v="0"/>
    <n v="37"/>
    <s v="31 TO 45 Days"/>
    <d v="2017-04-30T00:00:00"/>
    <s v="AI"/>
    <m/>
    <m/>
    <m/>
    <m/>
    <m/>
    <m/>
    <s v="4912897910"/>
  </r>
  <r>
    <s v="E2C1133614"/>
    <d v="2017-03-30T00:00:00"/>
    <s v="22C0319581"/>
    <x v="10"/>
    <x v="0"/>
    <x v="5"/>
    <n v="4858"/>
    <n v="0"/>
    <n v="4858"/>
    <n v="0"/>
    <n v="0"/>
    <n v="0"/>
    <n v="0"/>
    <n v="0"/>
    <n v="31"/>
    <s v="31 TO 45 Days"/>
    <d v="2017-04-30T00:00:00"/>
    <s v="AI"/>
    <m/>
    <m/>
    <m/>
    <m/>
    <m/>
    <m/>
    <s v="4912905607"/>
  </r>
  <r>
    <s v="E2C1122850"/>
    <d v="2017-03-01T00:00:00"/>
    <s v="22C0314810"/>
    <x v="67"/>
    <x v="0"/>
    <x v="17"/>
    <n v="4859"/>
    <n v="0"/>
    <n v="0"/>
    <n v="4859"/>
    <n v="0"/>
    <n v="0"/>
    <n v="0"/>
    <n v="0"/>
    <n v="60"/>
    <s v="46 To 60 Days"/>
    <d v="2017-04-30T00:00:00"/>
    <s v="AI"/>
    <m/>
    <m/>
    <m/>
    <m/>
    <m/>
    <m/>
    <s v="417268122"/>
  </r>
  <r>
    <s v="E2C1111462"/>
    <d v="2017-01-28T00:00:00"/>
    <s v="22C0312055"/>
    <x v="69"/>
    <x v="0"/>
    <x v="2"/>
    <n v="4865"/>
    <n v="0"/>
    <n v="0"/>
    <n v="0"/>
    <n v="0"/>
    <n v="4865"/>
    <n v="0"/>
    <n v="4865"/>
    <n v="92"/>
    <s v="91 To 120 Days"/>
    <d v="2017-04-30T00:00:00"/>
    <s v="AI"/>
    <m/>
    <m/>
    <m/>
    <m/>
    <m/>
    <m/>
    <s v="4711224560"/>
  </r>
  <r>
    <s v="E2C1113283"/>
    <d v="2017-02-01T00:00:00"/>
    <s v="22C0312598"/>
    <x v="69"/>
    <x v="0"/>
    <x v="2"/>
    <n v="4865"/>
    <n v="0"/>
    <n v="0"/>
    <n v="0"/>
    <n v="4865"/>
    <n v="0"/>
    <n v="0"/>
    <n v="4865"/>
    <n v="88"/>
    <s v="61 To 90 Days"/>
    <d v="2017-04-30T00:00:00"/>
    <s v="AI"/>
    <m/>
    <m/>
    <m/>
    <m/>
    <m/>
    <m/>
    <s v="4711225952"/>
  </r>
  <r>
    <s v="E2C1123637"/>
    <d v="2017-03-04T00:00:00"/>
    <s v="22C0316239"/>
    <x v="67"/>
    <x v="0"/>
    <x v="17"/>
    <n v="4866"/>
    <n v="0"/>
    <n v="0"/>
    <n v="4866"/>
    <n v="0"/>
    <n v="0"/>
    <n v="0"/>
    <n v="0"/>
    <n v="57"/>
    <s v="46 To 60 Days"/>
    <d v="2017-04-30T00:00:00"/>
    <s v="AI"/>
    <m/>
    <m/>
    <m/>
    <m/>
    <m/>
    <m/>
    <s v="417268218"/>
  </r>
  <r>
    <s v="E2C1116681"/>
    <d v="2017-02-13T00:00:00"/>
    <s v="22C0313902"/>
    <x v="61"/>
    <x v="0"/>
    <x v="2"/>
    <n v="4872"/>
    <n v="0"/>
    <n v="0"/>
    <n v="0"/>
    <n v="4872"/>
    <n v="0"/>
    <n v="0"/>
    <n v="4872"/>
    <n v="76"/>
    <s v="61 To 90 Days"/>
    <d v="2017-04-30T00:00:00"/>
    <s v="AI"/>
    <m/>
    <m/>
    <m/>
    <m/>
    <m/>
    <m/>
    <s v="4711228019"/>
  </r>
  <r>
    <s v="E2C1120831"/>
    <d v="2017-02-25T00:00:00"/>
    <s v="22C0313597"/>
    <x v="61"/>
    <x v="0"/>
    <x v="2"/>
    <n v="4887"/>
    <n v="0"/>
    <n v="0"/>
    <n v="0"/>
    <n v="4887"/>
    <n v="0"/>
    <n v="0"/>
    <n v="4887"/>
    <n v="64"/>
    <s v="61 To 90 Days"/>
    <d v="2017-04-30T00:00:00"/>
    <s v="AI"/>
    <m/>
    <m/>
    <m/>
    <m/>
    <m/>
    <m/>
    <s v="4711227327"/>
  </r>
  <r>
    <s v="E2C1131057"/>
    <d v="2017-03-24T00:00:00"/>
    <s v="22C0318234"/>
    <x v="10"/>
    <x v="0"/>
    <x v="5"/>
    <n v="4891"/>
    <n v="0"/>
    <n v="4891"/>
    <n v="0"/>
    <n v="0"/>
    <n v="0"/>
    <n v="0"/>
    <n v="0"/>
    <n v="37"/>
    <s v="31 TO 45 Days"/>
    <d v="2017-04-30T00:00:00"/>
    <s v="AI"/>
    <m/>
    <m/>
    <m/>
    <m/>
    <m/>
    <m/>
    <s v="4912898461"/>
  </r>
  <r>
    <s v="E2C1119284"/>
    <d v="2017-02-21T00:00:00"/>
    <s v="22C0314464"/>
    <x v="61"/>
    <x v="0"/>
    <x v="2"/>
    <n v="4892"/>
    <n v="0"/>
    <n v="0"/>
    <n v="0"/>
    <n v="4892"/>
    <n v="0"/>
    <n v="0"/>
    <n v="4892"/>
    <n v="68"/>
    <s v="61 To 90 Days"/>
    <d v="2017-04-30T00:00:00"/>
    <s v="AI"/>
    <m/>
    <m/>
    <m/>
    <m/>
    <m/>
    <m/>
    <s v="4711229044"/>
  </r>
  <r>
    <s v="E2C1109993"/>
    <d v="2017-01-24T00:00:00"/>
    <s v="22C0311301"/>
    <x v="61"/>
    <x v="0"/>
    <x v="2"/>
    <n v="4893"/>
    <n v="0"/>
    <n v="0"/>
    <n v="0"/>
    <n v="0"/>
    <n v="4893"/>
    <n v="0"/>
    <n v="4893"/>
    <n v="96"/>
    <s v="91 To 120 Days"/>
    <d v="2017-04-30T00:00:00"/>
    <s v="AI"/>
    <m/>
    <m/>
    <m/>
    <m/>
    <m/>
    <m/>
    <s v="4711222716"/>
  </r>
  <r>
    <s v="E2C1122854"/>
    <d v="2017-03-01T00:00:00"/>
    <s v="22C0315152"/>
    <x v="67"/>
    <x v="0"/>
    <x v="17"/>
    <n v="4911"/>
    <n v="0"/>
    <n v="0"/>
    <n v="4911"/>
    <n v="0"/>
    <n v="0"/>
    <n v="0"/>
    <n v="0"/>
    <n v="60"/>
    <s v="46 To 60 Days"/>
    <d v="2017-04-30T00:00:00"/>
    <s v="AI"/>
    <m/>
    <m/>
    <m/>
    <m/>
    <m/>
    <m/>
    <s v="417268144"/>
  </r>
  <r>
    <s v="E2C1111100"/>
    <d v="2017-01-27T00:00:00"/>
    <s v="22C0312382"/>
    <x v="54"/>
    <x v="0"/>
    <x v="2"/>
    <n v="4913"/>
    <n v="0"/>
    <n v="0"/>
    <n v="0"/>
    <n v="0"/>
    <n v="4913"/>
    <n v="0"/>
    <n v="4913"/>
    <n v="93"/>
    <s v="91 To 120 Days"/>
    <d v="2017-04-30T00:00:00"/>
    <s v="AI"/>
    <m/>
    <m/>
    <m/>
    <m/>
    <m/>
    <m/>
    <s v="4570267761"/>
  </r>
  <r>
    <s v="E2C1131511"/>
    <d v="2017-03-25T00:00:00"/>
    <s v="22C0318664"/>
    <x v="61"/>
    <x v="0"/>
    <x v="2"/>
    <n v="4913"/>
    <n v="0"/>
    <n v="4913"/>
    <n v="0"/>
    <n v="0"/>
    <n v="0"/>
    <n v="0"/>
    <n v="0"/>
    <n v="36"/>
    <s v="31 TO 45 Days"/>
    <d v="2017-04-30T00:00:00"/>
    <s v="AI"/>
    <m/>
    <m/>
    <m/>
    <m/>
    <m/>
    <m/>
    <s v="4711238013"/>
  </r>
  <r>
    <s v="E2C1123037"/>
    <d v="2017-03-02T00:00:00"/>
    <s v="22C0316199"/>
    <x v="24"/>
    <x v="0"/>
    <x v="16"/>
    <n v="4929"/>
    <n v="0"/>
    <n v="0"/>
    <n v="4929"/>
    <n v="0"/>
    <n v="0"/>
    <n v="0"/>
    <n v="0"/>
    <n v="59"/>
    <s v="46 To 60 Days"/>
    <d v="2017-04-30T00:00:00"/>
    <s v="AI"/>
    <m/>
    <m/>
    <m/>
    <m/>
    <m/>
    <m/>
    <s v="4041693409"/>
  </r>
  <r>
    <s v="E2C1130364"/>
    <d v="2017-03-23T00:00:00"/>
    <s v="22C0318466"/>
    <x v="75"/>
    <x v="0"/>
    <x v="9"/>
    <n v="4935"/>
    <n v="0"/>
    <n v="4935"/>
    <n v="0"/>
    <n v="0"/>
    <n v="0"/>
    <n v="0"/>
    <n v="0"/>
    <n v="38"/>
    <s v="31 TO 45 Days"/>
    <d v="2017-04-30T00:00:00"/>
    <s v="AI"/>
    <m/>
    <m/>
    <m/>
    <s v="EDI - Sent"/>
    <d v="2017-03-23T00:00:00"/>
    <s v="EDI successfully sent"/>
    <s v="4760147236"/>
  </r>
  <r>
    <s v="E2C1136606"/>
    <d v="2017-04-06T00:00:00"/>
    <s v="22C0320728"/>
    <x v="76"/>
    <x v="0"/>
    <x v="2"/>
    <n v="4947"/>
    <n v="4947"/>
    <n v="0"/>
    <n v="0"/>
    <n v="0"/>
    <n v="0"/>
    <n v="0"/>
    <n v="0"/>
    <n v="24"/>
    <s v="30 Days"/>
    <d v="2017-04-30T00:00:00"/>
    <s v="AI"/>
    <m/>
    <m/>
    <m/>
    <m/>
    <m/>
    <m/>
    <s v="417470442"/>
  </r>
  <r>
    <s v="E2C1132443"/>
    <d v="2017-03-28T00:00:00"/>
    <s v="22C0318809"/>
    <x v="10"/>
    <x v="0"/>
    <x v="5"/>
    <n v="4948"/>
    <n v="0"/>
    <n v="4948"/>
    <n v="0"/>
    <n v="0"/>
    <n v="0"/>
    <n v="0"/>
    <n v="0"/>
    <n v="33"/>
    <s v="31 TO 45 Days"/>
    <d v="2017-04-30T00:00:00"/>
    <s v="AI"/>
    <m/>
    <m/>
    <m/>
    <m/>
    <m/>
    <m/>
    <s v="4912901746"/>
  </r>
  <r>
    <s v="E2C1131230"/>
    <d v="2017-03-24T00:00:00"/>
    <s v="22C0317562"/>
    <x v="61"/>
    <x v="0"/>
    <x v="2"/>
    <n v="4964"/>
    <n v="0"/>
    <n v="4964"/>
    <n v="0"/>
    <n v="0"/>
    <n v="0"/>
    <n v="0"/>
    <n v="0"/>
    <n v="37"/>
    <s v="31 TO 45 Days"/>
    <d v="2017-04-30T00:00:00"/>
    <s v="AI"/>
    <m/>
    <m/>
    <m/>
    <m/>
    <m/>
    <m/>
    <s v="4711235943"/>
  </r>
  <r>
    <s v="E2C1133654"/>
    <d v="2017-03-30T00:00:00"/>
    <s v="22C0319216"/>
    <x v="10"/>
    <x v="0"/>
    <x v="5"/>
    <n v="4966"/>
    <n v="0"/>
    <n v="4966"/>
    <n v="0"/>
    <n v="0"/>
    <n v="0"/>
    <n v="0"/>
    <n v="0"/>
    <n v="31"/>
    <s v="31 TO 45 Days"/>
    <d v="2017-04-30T00:00:00"/>
    <s v="AI"/>
    <m/>
    <m/>
    <m/>
    <m/>
    <m/>
    <m/>
    <s v="4912903396"/>
  </r>
  <r>
    <s v="E2C1118217"/>
    <d v="2017-02-17T00:00:00"/>
    <s v="22C0314433"/>
    <x v="54"/>
    <x v="0"/>
    <x v="2"/>
    <n v="4982"/>
    <n v="0"/>
    <n v="0"/>
    <n v="0"/>
    <n v="4982"/>
    <n v="0"/>
    <n v="0"/>
    <n v="4982"/>
    <n v="72"/>
    <s v="61 To 90 Days"/>
    <d v="2017-04-30T00:00:00"/>
    <s v="AI"/>
    <m/>
    <m/>
    <m/>
    <m/>
    <m/>
    <m/>
    <s v="4540130252"/>
  </r>
  <r>
    <s v="E2C1131983"/>
    <d v="2017-03-27T00:00:00"/>
    <s v="22C0318338"/>
    <x v="69"/>
    <x v="0"/>
    <x v="2"/>
    <n v="4984"/>
    <n v="0"/>
    <n v="4984"/>
    <n v="0"/>
    <n v="0"/>
    <n v="0"/>
    <n v="0"/>
    <n v="0"/>
    <n v="34"/>
    <s v="31 TO 45 Days"/>
    <d v="2017-04-30T00:00:00"/>
    <s v="AI"/>
    <m/>
    <m/>
    <m/>
    <m/>
    <m/>
    <m/>
    <s v="4570268833"/>
  </r>
  <r>
    <s v="E2C1130058"/>
    <d v="2017-03-22T00:00:00"/>
    <s v="22C0317829"/>
    <x v="54"/>
    <x v="0"/>
    <x v="2"/>
    <n v="4998"/>
    <n v="0"/>
    <n v="4998"/>
    <n v="0"/>
    <n v="0"/>
    <n v="0"/>
    <n v="0"/>
    <n v="0"/>
    <n v="39"/>
    <s v="31 TO 45 Days"/>
    <d v="2017-04-30T00:00:00"/>
    <s v="AI"/>
    <m/>
    <m/>
    <m/>
    <m/>
    <m/>
    <m/>
    <s v="4560218375"/>
  </r>
  <r>
    <s v="E2C1111893"/>
    <d v="2017-01-30T00:00:00"/>
    <s v="22C0312467"/>
    <x v="61"/>
    <x v="0"/>
    <x v="2"/>
    <n v="5012"/>
    <n v="0"/>
    <n v="0"/>
    <n v="0"/>
    <n v="5012"/>
    <n v="0"/>
    <n v="0"/>
    <n v="5012"/>
    <n v="90"/>
    <s v="61 To 90 Days"/>
    <d v="2017-04-30T00:00:00"/>
    <s v="AI"/>
    <m/>
    <m/>
    <m/>
    <m/>
    <m/>
    <m/>
    <s v="4711225650"/>
  </r>
  <r>
    <s v="E2C1121465"/>
    <d v="2017-02-27T00:00:00"/>
    <s v="22C0315709"/>
    <x v="54"/>
    <x v="0"/>
    <x v="2"/>
    <n v="5014"/>
    <n v="0"/>
    <n v="0"/>
    <n v="0"/>
    <n v="5014"/>
    <n v="0"/>
    <n v="0"/>
    <n v="5014"/>
    <n v="62"/>
    <s v="61 To 90 Days"/>
    <d v="2017-04-30T00:00:00"/>
    <s v="AI"/>
    <m/>
    <m/>
    <m/>
    <m/>
    <m/>
    <m/>
    <s v="4540130566"/>
  </r>
  <r>
    <s v="E2C1137736"/>
    <d v="2017-04-10T00:00:00"/>
    <s v="22C0319851"/>
    <x v="10"/>
    <x v="0"/>
    <x v="5"/>
    <n v="5017"/>
    <n v="5017"/>
    <n v="0"/>
    <n v="0"/>
    <n v="0"/>
    <n v="0"/>
    <n v="0"/>
    <n v="0"/>
    <n v="20"/>
    <s v="30 Days"/>
    <d v="2017-04-30T00:00:00"/>
    <s v="AI"/>
    <m/>
    <m/>
    <m/>
    <m/>
    <m/>
    <m/>
    <s v="4912905969"/>
  </r>
  <r>
    <s v="E2C1138077"/>
    <d v="2017-04-11T00:00:00"/>
    <s v="22C0321150"/>
    <x v="22"/>
    <x v="0"/>
    <x v="14"/>
    <n v="5018"/>
    <n v="5018"/>
    <n v="0"/>
    <n v="0"/>
    <n v="0"/>
    <n v="0"/>
    <n v="0"/>
    <n v="0"/>
    <n v="19"/>
    <s v="30 Days"/>
    <d v="2017-04-30T00:00:00"/>
    <s v="AI"/>
    <m/>
    <m/>
    <m/>
    <m/>
    <m/>
    <m/>
    <s v="4760147780"/>
  </r>
  <r>
    <s v="E2C1137737"/>
    <d v="2017-04-10T00:00:00"/>
    <s v="22C0319860"/>
    <x v="10"/>
    <x v="0"/>
    <x v="5"/>
    <n v="5032"/>
    <n v="5032"/>
    <n v="0"/>
    <n v="0"/>
    <n v="0"/>
    <n v="0"/>
    <n v="0"/>
    <n v="0"/>
    <n v="20"/>
    <s v="30 Days"/>
    <d v="2017-04-30T00:00:00"/>
    <s v="AI"/>
    <m/>
    <m/>
    <m/>
    <m/>
    <m/>
    <m/>
    <s v="4912908567"/>
  </r>
  <r>
    <s v="E2C1124888"/>
    <d v="2017-03-08T00:00:00"/>
    <s v="22C0316653"/>
    <x v="61"/>
    <x v="0"/>
    <x v="2"/>
    <n v="5037"/>
    <n v="0"/>
    <n v="0"/>
    <n v="5037"/>
    <n v="0"/>
    <n v="0"/>
    <n v="0"/>
    <n v="0"/>
    <n v="53"/>
    <s v="46 To 60 Days"/>
    <d v="2017-04-30T00:00:00"/>
    <s v="AI"/>
    <m/>
    <m/>
    <m/>
    <m/>
    <m/>
    <m/>
    <s v="4711234040"/>
  </r>
  <r>
    <s v="E2C1123832"/>
    <d v="2017-03-04T00:00:00"/>
    <s v="22C0316115"/>
    <x v="69"/>
    <x v="0"/>
    <x v="2"/>
    <n v="5041"/>
    <n v="0"/>
    <n v="0"/>
    <n v="5041"/>
    <n v="0"/>
    <n v="0"/>
    <n v="0"/>
    <n v="0"/>
    <n v="57"/>
    <s v="46 To 60 Days"/>
    <d v="2017-04-30T00:00:00"/>
    <s v="AI"/>
    <m/>
    <m/>
    <m/>
    <m/>
    <m/>
    <m/>
    <s v="4570269209"/>
  </r>
  <r>
    <s v="E2C1123831"/>
    <d v="2017-03-04T00:00:00"/>
    <s v="22C0316114"/>
    <x v="69"/>
    <x v="0"/>
    <x v="2"/>
    <n v="5041"/>
    <n v="0"/>
    <n v="0"/>
    <n v="5041"/>
    <n v="0"/>
    <n v="0"/>
    <n v="0"/>
    <n v="0"/>
    <n v="57"/>
    <s v="46 To 60 Days"/>
    <d v="2017-04-30T00:00:00"/>
    <s v="AI"/>
    <m/>
    <m/>
    <m/>
    <m/>
    <m/>
    <m/>
    <s v="4570269205"/>
  </r>
  <r>
    <s v="E2C1133326"/>
    <d v="2017-03-30T00:00:00"/>
    <s v="22C0319324"/>
    <x v="54"/>
    <x v="0"/>
    <x v="2"/>
    <n v="5073"/>
    <n v="0"/>
    <n v="5073"/>
    <n v="0"/>
    <n v="0"/>
    <n v="0"/>
    <n v="0"/>
    <n v="0"/>
    <n v="31"/>
    <s v="31 TO 45 Days"/>
    <d v="2017-04-30T00:00:00"/>
    <s v="AI"/>
    <m/>
    <m/>
    <m/>
    <m/>
    <m/>
    <m/>
    <s v="4560218809"/>
  </r>
  <r>
    <s v="E2C1127497"/>
    <d v="2017-03-16T00:00:00"/>
    <s v="22C0316942"/>
    <x v="61"/>
    <x v="0"/>
    <x v="2"/>
    <n v="5074"/>
    <n v="0"/>
    <n v="5074"/>
    <n v="0"/>
    <n v="0"/>
    <n v="0"/>
    <n v="0"/>
    <n v="0"/>
    <n v="45"/>
    <s v="31 TO 45 Days"/>
    <d v="2017-04-30T00:00:00"/>
    <s v="AI"/>
    <m/>
    <m/>
    <m/>
    <m/>
    <m/>
    <m/>
    <s v="4711234600"/>
  </r>
  <r>
    <s v="E2C1111456"/>
    <d v="2017-01-28T00:00:00"/>
    <s v="22C0311529"/>
    <x v="69"/>
    <x v="0"/>
    <x v="2"/>
    <n v="5080"/>
    <n v="0"/>
    <n v="0"/>
    <n v="0"/>
    <n v="0"/>
    <n v="5080"/>
    <n v="0"/>
    <n v="5080"/>
    <n v="92"/>
    <s v="91 To 120 Days"/>
    <d v="2017-04-30T00:00:00"/>
    <s v="AI"/>
    <m/>
    <m/>
    <m/>
    <m/>
    <m/>
    <m/>
    <s v="4570267441"/>
  </r>
  <r>
    <s v="E2C1137680"/>
    <d v="2017-04-10T00:00:00"/>
    <s v="22C0319853"/>
    <x v="10"/>
    <x v="0"/>
    <x v="5"/>
    <n v="5094"/>
    <n v="5094"/>
    <n v="0"/>
    <n v="0"/>
    <n v="0"/>
    <n v="0"/>
    <n v="0"/>
    <n v="0"/>
    <n v="20"/>
    <s v="30 Days"/>
    <d v="2017-04-30T00:00:00"/>
    <s v="AI"/>
    <m/>
    <m/>
    <m/>
    <m/>
    <m/>
    <m/>
    <s v="4912905976"/>
  </r>
  <r>
    <s v="E2C1137708"/>
    <d v="2017-04-10T00:00:00"/>
    <s v="22C0319855"/>
    <x v="10"/>
    <x v="0"/>
    <x v="5"/>
    <n v="5094"/>
    <n v="5094"/>
    <n v="0"/>
    <n v="0"/>
    <n v="0"/>
    <n v="0"/>
    <n v="0"/>
    <n v="0"/>
    <n v="20"/>
    <s v="30 Days"/>
    <d v="2017-04-30T00:00:00"/>
    <s v="AI"/>
    <m/>
    <m/>
    <m/>
    <m/>
    <m/>
    <m/>
    <s v="4912905983"/>
  </r>
  <r>
    <s v="E2C1111264"/>
    <d v="2017-01-28T00:00:00"/>
    <s v="22C0312187"/>
    <x v="54"/>
    <x v="0"/>
    <x v="2"/>
    <n v="5104"/>
    <n v="0"/>
    <n v="0"/>
    <n v="0"/>
    <n v="0"/>
    <n v="5104"/>
    <n v="0"/>
    <n v="5104"/>
    <n v="92"/>
    <s v="91 To 120 Days"/>
    <d v="2017-04-30T00:00:00"/>
    <s v="AI"/>
    <m/>
    <m/>
    <m/>
    <m/>
    <m/>
    <m/>
    <s v="4560216672"/>
  </r>
  <r>
    <s v="E2C1137720"/>
    <d v="2017-04-10T00:00:00"/>
    <s v="22C0320186"/>
    <x v="10"/>
    <x v="0"/>
    <x v="5"/>
    <n v="5113"/>
    <n v="5113"/>
    <n v="0"/>
    <n v="0"/>
    <n v="0"/>
    <n v="0"/>
    <n v="0"/>
    <n v="0"/>
    <n v="20"/>
    <s v="30 Days"/>
    <d v="2017-04-30T00:00:00"/>
    <s v="AI"/>
    <m/>
    <m/>
    <m/>
    <m/>
    <m/>
    <m/>
    <s v="4912911506"/>
  </r>
  <r>
    <s v="E2C1130118"/>
    <d v="2017-03-22T00:00:00"/>
    <s v="22C0318335"/>
    <x v="77"/>
    <x v="0"/>
    <x v="24"/>
    <n v="5119"/>
    <n v="0"/>
    <n v="5119"/>
    <n v="0"/>
    <n v="0"/>
    <n v="0"/>
    <n v="0"/>
    <n v="0"/>
    <n v="39"/>
    <s v="31 TO 45 Days"/>
    <d v="2017-04-30T00:00:00"/>
    <s v="AI"/>
    <m/>
    <m/>
    <m/>
    <m/>
    <m/>
    <m/>
    <s v="4540131212"/>
  </r>
  <r>
    <s v="E2C1137684"/>
    <d v="2017-04-10T00:00:00"/>
    <s v="22C0319861"/>
    <x v="10"/>
    <x v="0"/>
    <x v="5"/>
    <n v="5123"/>
    <n v="5123"/>
    <n v="0"/>
    <n v="0"/>
    <n v="0"/>
    <n v="0"/>
    <n v="0"/>
    <n v="0"/>
    <n v="20"/>
    <s v="30 Days"/>
    <d v="2017-04-30T00:00:00"/>
    <s v="AI"/>
    <m/>
    <m/>
    <m/>
    <m/>
    <m/>
    <m/>
    <s v="4912909131"/>
  </r>
  <r>
    <s v="E2C1128390"/>
    <d v="2017-03-18T00:00:00"/>
    <s v="22C0317859"/>
    <x v="15"/>
    <x v="0"/>
    <x v="8"/>
    <n v="5131"/>
    <n v="0"/>
    <n v="5131"/>
    <n v="0"/>
    <n v="0"/>
    <n v="0"/>
    <n v="0"/>
    <n v="0"/>
    <n v="43"/>
    <s v="31 TO 45 Days"/>
    <d v="2017-04-30T00:00:00"/>
    <s v="AI"/>
    <m/>
    <m/>
    <m/>
    <m/>
    <m/>
    <m/>
    <s v="4540131112"/>
  </r>
  <r>
    <s v="E2C1135999"/>
    <d v="2017-04-05T00:00:00"/>
    <s v="22C0316948"/>
    <x v="67"/>
    <x v="0"/>
    <x v="17"/>
    <n v="5138"/>
    <n v="5138"/>
    <n v="0"/>
    <n v="0"/>
    <n v="0"/>
    <n v="0"/>
    <n v="0"/>
    <n v="0"/>
    <n v="25"/>
    <s v="30 Days"/>
    <d v="2017-04-30T00:00:00"/>
    <s v="AI"/>
    <m/>
    <m/>
    <m/>
    <m/>
    <m/>
    <m/>
    <s v="417268251"/>
  </r>
  <r>
    <s v="E2C1133113"/>
    <d v="2017-03-30T00:00:00"/>
    <s v="22C0319322"/>
    <x v="53"/>
    <x v="0"/>
    <x v="1"/>
    <n v="5141"/>
    <n v="0"/>
    <n v="5141"/>
    <n v="0"/>
    <n v="0"/>
    <n v="0"/>
    <n v="0"/>
    <n v="0"/>
    <n v="31"/>
    <s v="31 TO 45 Days"/>
    <d v="2017-04-30T00:00:00"/>
    <s v="AI"/>
    <m/>
    <m/>
    <m/>
    <m/>
    <m/>
    <m/>
    <s v="4540131384"/>
  </r>
  <r>
    <s v="E2C1131062"/>
    <d v="2017-03-24T00:00:00"/>
    <s v="22C0317422"/>
    <x v="10"/>
    <x v="0"/>
    <x v="5"/>
    <n v="5144"/>
    <n v="0"/>
    <n v="5144"/>
    <n v="0"/>
    <n v="0"/>
    <n v="0"/>
    <n v="0"/>
    <n v="0"/>
    <n v="37"/>
    <s v="31 TO 45 Days"/>
    <d v="2017-04-30T00:00:00"/>
    <s v="AI"/>
    <m/>
    <m/>
    <m/>
    <m/>
    <m/>
    <m/>
    <s v="4912895209"/>
  </r>
  <r>
    <s v="E2C1119295"/>
    <d v="2017-02-21T00:00:00"/>
    <s v="22C0314920"/>
    <x v="61"/>
    <x v="0"/>
    <x v="2"/>
    <n v="5148"/>
    <n v="0"/>
    <n v="0"/>
    <n v="0"/>
    <n v="5148"/>
    <n v="0"/>
    <n v="0"/>
    <n v="5148"/>
    <n v="68"/>
    <s v="61 To 90 Days"/>
    <d v="2017-04-30T00:00:00"/>
    <s v="AI"/>
    <m/>
    <m/>
    <m/>
    <m/>
    <m/>
    <m/>
    <s v="4711230152"/>
  </r>
  <r>
    <s v="E2C1131052"/>
    <d v="2017-03-24T00:00:00"/>
    <s v="22C0318565"/>
    <x v="10"/>
    <x v="0"/>
    <x v="5"/>
    <n v="5155"/>
    <n v="0"/>
    <n v="5155"/>
    <n v="0"/>
    <n v="0"/>
    <n v="0"/>
    <n v="0"/>
    <n v="0"/>
    <n v="37"/>
    <s v="31 TO 45 Days"/>
    <d v="2017-04-30T00:00:00"/>
    <s v="AI"/>
    <m/>
    <m/>
    <m/>
    <m/>
    <m/>
    <m/>
    <s v="4912900814"/>
  </r>
  <r>
    <s v="E2C1138838"/>
    <d v="2017-04-12T00:00:00"/>
    <s v="22C0321228"/>
    <x v="10"/>
    <x v="0"/>
    <x v="5"/>
    <n v="5158"/>
    <n v="5158"/>
    <n v="0"/>
    <n v="0"/>
    <n v="0"/>
    <n v="0"/>
    <n v="0"/>
    <n v="0"/>
    <n v="18"/>
    <s v="30 Days"/>
    <d v="2017-04-30T00:00:00"/>
    <s v="AI"/>
    <m/>
    <m/>
    <m/>
    <m/>
    <m/>
    <m/>
    <s v="4912920588"/>
  </r>
  <r>
    <s v="E2C1119285"/>
    <d v="2017-02-21T00:00:00"/>
    <s v="22C0314467"/>
    <x v="61"/>
    <x v="0"/>
    <x v="2"/>
    <n v="5165"/>
    <n v="0"/>
    <n v="0"/>
    <n v="0"/>
    <n v="5165"/>
    <n v="0"/>
    <n v="0"/>
    <n v="5165"/>
    <n v="68"/>
    <s v="61 To 90 Days"/>
    <d v="2017-04-30T00:00:00"/>
    <s v="AI"/>
    <m/>
    <m/>
    <m/>
    <m/>
    <m/>
    <m/>
    <s v="4711229458"/>
  </r>
  <r>
    <s v="E2C1119290"/>
    <d v="2017-02-21T00:00:00"/>
    <s v="22C0314825"/>
    <x v="61"/>
    <x v="0"/>
    <x v="2"/>
    <n v="5179"/>
    <n v="0"/>
    <n v="0"/>
    <n v="0"/>
    <n v="5179"/>
    <n v="0"/>
    <n v="0"/>
    <n v="5179"/>
    <n v="68"/>
    <s v="61 To 90 Days"/>
    <d v="2017-04-30T00:00:00"/>
    <s v="AI"/>
    <m/>
    <m/>
    <m/>
    <m/>
    <m/>
    <m/>
    <s v="4912876553"/>
  </r>
  <r>
    <s v="E2C1137732"/>
    <d v="2017-04-10T00:00:00"/>
    <s v="22C0320699"/>
    <x v="10"/>
    <x v="0"/>
    <x v="5"/>
    <n v="5179"/>
    <n v="5179"/>
    <n v="0"/>
    <n v="0"/>
    <n v="0"/>
    <n v="0"/>
    <n v="0"/>
    <n v="0"/>
    <n v="20"/>
    <s v="30 Days"/>
    <d v="2017-04-30T00:00:00"/>
    <s v="AI"/>
    <m/>
    <m/>
    <m/>
    <m/>
    <m/>
    <m/>
    <s v="4912914332"/>
  </r>
  <r>
    <s v="E2C1109997"/>
    <d v="2017-01-24T00:00:00"/>
    <s v="22C0311319"/>
    <x v="61"/>
    <x v="0"/>
    <x v="2"/>
    <n v="5187"/>
    <n v="0"/>
    <n v="0"/>
    <n v="0"/>
    <n v="0"/>
    <n v="5187"/>
    <n v="0"/>
    <n v="5187"/>
    <n v="96"/>
    <s v="91 To 120 Days"/>
    <d v="2017-04-30T00:00:00"/>
    <s v="AI"/>
    <m/>
    <m/>
    <m/>
    <m/>
    <m/>
    <m/>
    <s v="4711223378"/>
  </r>
  <r>
    <s v="E2C1123634"/>
    <d v="2017-03-04T00:00:00"/>
    <s v="22C0316269"/>
    <x v="67"/>
    <x v="0"/>
    <x v="17"/>
    <n v="5190"/>
    <n v="0"/>
    <n v="0"/>
    <n v="5190"/>
    <n v="0"/>
    <n v="0"/>
    <n v="0"/>
    <n v="0"/>
    <n v="57"/>
    <s v="46 To 60 Days"/>
    <d v="2017-04-30T00:00:00"/>
    <s v="AI"/>
    <m/>
    <m/>
    <m/>
    <m/>
    <m/>
    <m/>
    <s v="4520086054"/>
  </r>
  <r>
    <s v="E2C1119955"/>
    <d v="2017-02-23T00:00:00"/>
    <s v="22C0315277"/>
    <x v="63"/>
    <x v="0"/>
    <x v="7"/>
    <n v="5191"/>
    <n v="0"/>
    <n v="0"/>
    <n v="0"/>
    <n v="5191"/>
    <n v="0"/>
    <n v="0"/>
    <n v="5191"/>
    <n v="66"/>
    <s v="61 To 90 Days"/>
    <d v="2017-04-30T00:00:00"/>
    <s v="AI"/>
    <m/>
    <m/>
    <m/>
    <m/>
    <m/>
    <m/>
    <s v="418439474"/>
  </r>
  <r>
    <s v="E2C1132439"/>
    <d v="2017-03-28T00:00:00"/>
    <s v="22C0318820"/>
    <x v="10"/>
    <x v="0"/>
    <x v="5"/>
    <n v="5195"/>
    <n v="0"/>
    <n v="5195"/>
    <n v="0"/>
    <n v="0"/>
    <n v="0"/>
    <n v="0"/>
    <n v="0"/>
    <n v="33"/>
    <s v="31 TO 45 Days"/>
    <d v="2017-04-30T00:00:00"/>
    <s v="AI"/>
    <m/>
    <m/>
    <m/>
    <m/>
    <m/>
    <m/>
    <s v="4912903162"/>
  </r>
  <r>
    <s v="E2C1120046"/>
    <d v="2017-02-23T00:00:00"/>
    <s v="22C0306534"/>
    <x v="78"/>
    <x v="0"/>
    <x v="1"/>
    <n v="5208"/>
    <n v="0"/>
    <n v="0"/>
    <n v="0"/>
    <n v="5208"/>
    <n v="0"/>
    <n v="0"/>
    <n v="5208"/>
    <n v="66"/>
    <s v="61 To 90 Days"/>
    <d v="2017-04-30T00:00:00"/>
    <s v="AI"/>
    <m/>
    <m/>
    <m/>
    <m/>
    <m/>
    <m/>
    <s v="4395805823"/>
  </r>
  <r>
    <s v="E2C1124105"/>
    <d v="2017-03-06T00:00:00"/>
    <s v="22C0316271"/>
    <x v="15"/>
    <x v="0"/>
    <x v="8"/>
    <n v="5229"/>
    <n v="0"/>
    <n v="0"/>
    <n v="5229"/>
    <n v="0"/>
    <n v="0"/>
    <n v="0"/>
    <n v="0"/>
    <n v="55"/>
    <s v="46 To 60 Days"/>
    <d v="2017-04-30T00:00:00"/>
    <s v="AI"/>
    <m/>
    <m/>
    <m/>
    <m/>
    <m/>
    <m/>
    <s v="4540130688"/>
  </r>
  <r>
    <s v="E2C1121473"/>
    <d v="2017-02-27T00:00:00"/>
    <s v="22C0315712"/>
    <x v="54"/>
    <x v="0"/>
    <x v="2"/>
    <n v="5236"/>
    <n v="0"/>
    <n v="0"/>
    <n v="0"/>
    <n v="5236"/>
    <n v="0"/>
    <n v="0"/>
    <n v="5236"/>
    <n v="62"/>
    <s v="61 To 90 Days"/>
    <d v="2017-04-30T00:00:00"/>
    <s v="AI"/>
    <m/>
    <m/>
    <m/>
    <m/>
    <m/>
    <m/>
    <s v="4560217793"/>
  </r>
  <r>
    <s v="E2C1116391"/>
    <d v="2017-02-10T00:00:00"/>
    <s v="22C0312769"/>
    <x v="63"/>
    <x v="0"/>
    <x v="7"/>
    <n v="5239"/>
    <n v="0"/>
    <n v="0"/>
    <n v="0"/>
    <n v="5239"/>
    <n v="0"/>
    <n v="0"/>
    <n v="5239"/>
    <n v="79"/>
    <s v="61 To 90 Days"/>
    <d v="2017-04-30T00:00:00"/>
    <s v="AI"/>
    <m/>
    <m/>
    <m/>
    <m/>
    <m/>
    <m/>
    <s v="419165126"/>
  </r>
  <r>
    <s v="E2C1137858"/>
    <d v="2017-04-10T00:00:00"/>
    <s v="22C0320744"/>
    <x v="7"/>
    <x v="0"/>
    <x v="4"/>
    <n v="5240"/>
    <n v="5240"/>
    <n v="0"/>
    <n v="0"/>
    <n v="0"/>
    <n v="0"/>
    <n v="0"/>
    <n v="0"/>
    <n v="20"/>
    <s v="30 Days"/>
    <d v="2017-04-30T00:00:00"/>
    <s v="AI"/>
    <m/>
    <m/>
    <m/>
    <s v="EDI - Sent"/>
    <d v="2017-04-10T00:00:00"/>
    <s v="EDI successfully sent"/>
    <s v="4750389781"/>
  </r>
  <r>
    <s v="E2C1123427"/>
    <d v="2017-03-03T00:00:00"/>
    <s v="22C0316254"/>
    <x v="22"/>
    <x v="0"/>
    <x v="14"/>
    <n v="5257"/>
    <n v="0"/>
    <n v="0"/>
    <n v="5257"/>
    <n v="0"/>
    <n v="0"/>
    <n v="0"/>
    <n v="0"/>
    <n v="58"/>
    <s v="46 To 60 Days"/>
    <d v="2017-04-30T00:00:00"/>
    <s v="AI"/>
    <m/>
    <m/>
    <m/>
    <m/>
    <m/>
    <m/>
    <s v="4760146751"/>
  </r>
  <r>
    <s v="E2C1117154"/>
    <d v="2017-02-14T00:00:00"/>
    <s v="22C0314115"/>
    <x v="15"/>
    <x v="0"/>
    <x v="8"/>
    <n v="5284"/>
    <n v="0"/>
    <n v="0"/>
    <n v="0"/>
    <n v="5284"/>
    <n v="0"/>
    <n v="0"/>
    <n v="5284"/>
    <n v="75"/>
    <s v="61 To 90 Days"/>
    <d v="2017-04-30T00:00:00"/>
    <s v="AI"/>
    <m/>
    <m/>
    <m/>
    <m/>
    <m/>
    <m/>
    <s v="4540130180"/>
  </r>
  <r>
    <s v="E2C1135272"/>
    <d v="2017-04-03T00:00:00"/>
    <s v="22C0320350"/>
    <x v="79"/>
    <x v="0"/>
    <x v="15"/>
    <n v="5288"/>
    <n v="5288"/>
    <n v="0"/>
    <n v="0"/>
    <n v="0"/>
    <n v="0"/>
    <n v="0"/>
    <n v="0"/>
    <n v="27"/>
    <s v="30 Days"/>
    <d v="2017-04-30T00:00:00"/>
    <s v="AI"/>
    <m/>
    <m/>
    <m/>
    <m/>
    <m/>
    <m/>
    <s v="422350622"/>
  </r>
  <r>
    <s v="E2C1133367"/>
    <d v="2017-03-30T00:00:00"/>
    <s v="22C0317285"/>
    <x v="80"/>
    <x v="0"/>
    <x v="13"/>
    <n v="5290"/>
    <n v="0"/>
    <n v="5290"/>
    <n v="0"/>
    <n v="0"/>
    <n v="0"/>
    <n v="0"/>
    <n v="0"/>
    <n v="31"/>
    <s v="31 TO 45 Days"/>
    <d v="2017-04-30T00:00:00"/>
    <s v="AI"/>
    <m/>
    <m/>
    <m/>
    <m/>
    <m/>
    <m/>
    <s v="4071588798"/>
  </r>
  <r>
    <s v="E2C1133394"/>
    <d v="2017-03-30T00:00:00"/>
    <s v="22C0317289"/>
    <x v="80"/>
    <x v="0"/>
    <x v="13"/>
    <n v="5290"/>
    <n v="0"/>
    <n v="5290"/>
    <n v="0"/>
    <n v="0"/>
    <n v="0"/>
    <n v="0"/>
    <n v="0"/>
    <n v="31"/>
    <s v="31 TO 45 Days"/>
    <d v="2017-04-30T00:00:00"/>
    <s v="AI"/>
    <m/>
    <m/>
    <m/>
    <m/>
    <m/>
    <m/>
    <s v="4071588799"/>
  </r>
  <r>
    <s v="E2C1128849"/>
    <d v="2017-03-20T00:00:00"/>
    <s v="22C0318386"/>
    <x v="24"/>
    <x v="0"/>
    <x v="16"/>
    <n v="5298"/>
    <n v="0"/>
    <n v="5298"/>
    <n v="0"/>
    <n v="0"/>
    <n v="0"/>
    <n v="0"/>
    <n v="0"/>
    <n v="41"/>
    <s v="31 TO 45 Days"/>
    <d v="2017-04-30T00:00:00"/>
    <s v="AI"/>
    <m/>
    <m/>
    <m/>
    <m/>
    <m/>
    <m/>
    <s v="4041695218"/>
  </r>
  <r>
    <s v="E2C1105271"/>
    <d v="2017-01-11T00:00:00"/>
    <s v="22C0310282"/>
    <x v="61"/>
    <x v="0"/>
    <x v="2"/>
    <n v="5299"/>
    <n v="0"/>
    <n v="0"/>
    <n v="0"/>
    <n v="0"/>
    <n v="5299"/>
    <n v="0"/>
    <n v="5299"/>
    <n v="109"/>
    <s v="91 To 120 Days"/>
    <d v="2017-04-30T00:00:00"/>
    <s v="AI"/>
    <m/>
    <m/>
    <m/>
    <m/>
    <m/>
    <m/>
    <s v="4711220988"/>
  </r>
  <r>
    <s v="E2C1135271"/>
    <d v="2017-04-03T00:00:00"/>
    <s v="22C0320348"/>
    <x v="72"/>
    <x v="0"/>
    <x v="2"/>
    <n v="5323"/>
    <n v="5323"/>
    <n v="0"/>
    <n v="0"/>
    <n v="0"/>
    <n v="0"/>
    <n v="0"/>
    <n v="0"/>
    <n v="27"/>
    <s v="30 Days"/>
    <d v="2017-04-30T00:00:00"/>
    <s v="AI"/>
    <m/>
    <m/>
    <m/>
    <m/>
    <m/>
    <m/>
    <s v="417470408"/>
  </r>
  <r>
    <s v="E2C1137716"/>
    <d v="2017-04-10T00:00:00"/>
    <s v="22C0320183"/>
    <x v="10"/>
    <x v="0"/>
    <x v="5"/>
    <n v="5323"/>
    <n v="5323"/>
    <n v="0"/>
    <n v="0"/>
    <n v="0"/>
    <n v="0"/>
    <n v="0"/>
    <n v="0"/>
    <n v="20"/>
    <s v="30 Days"/>
    <d v="2017-04-30T00:00:00"/>
    <s v="AI"/>
    <m/>
    <m/>
    <m/>
    <m/>
    <m/>
    <m/>
    <s v="4912911500"/>
  </r>
  <r>
    <s v="E2C1120457"/>
    <d v="2017-02-24T00:00:00"/>
    <s v="22C0315431"/>
    <x v="54"/>
    <x v="0"/>
    <x v="2"/>
    <n v="5363"/>
    <n v="0"/>
    <n v="0"/>
    <n v="0"/>
    <n v="5363"/>
    <n v="0"/>
    <n v="0"/>
    <n v="5363"/>
    <n v="65"/>
    <s v="61 To 90 Days"/>
    <d v="2017-04-30T00:00:00"/>
    <s v="AI"/>
    <m/>
    <m/>
    <m/>
    <m/>
    <m/>
    <m/>
    <s v="4560217773"/>
  </r>
  <r>
    <s v="E2C1124917"/>
    <d v="2017-03-08T00:00:00"/>
    <s v="22C0316757"/>
    <x v="7"/>
    <x v="0"/>
    <x v="4"/>
    <n v="5369"/>
    <n v="0"/>
    <n v="0"/>
    <n v="5369"/>
    <n v="0"/>
    <n v="0"/>
    <n v="0"/>
    <n v="0"/>
    <n v="53"/>
    <s v="46 To 60 Days"/>
    <d v="2017-04-30T00:00:00"/>
    <s v="AI"/>
    <m/>
    <m/>
    <m/>
    <s v="EDI - Sent"/>
    <d v="2017-03-08T00:00:00"/>
    <s v="EDI successfully sent"/>
    <s v="4750387565"/>
  </r>
  <r>
    <s v="E2C1136085"/>
    <d v="2017-04-05T00:00:00"/>
    <s v="22C0318239"/>
    <x v="10"/>
    <x v="0"/>
    <x v="5"/>
    <n v="5374"/>
    <n v="5374"/>
    <n v="0"/>
    <n v="0"/>
    <n v="0"/>
    <n v="0"/>
    <n v="0"/>
    <n v="0"/>
    <n v="25"/>
    <s v="30 Days"/>
    <d v="2017-04-30T00:00:00"/>
    <s v="AI"/>
    <m/>
    <m/>
    <m/>
    <m/>
    <m/>
    <m/>
    <s v="4912899182"/>
  </r>
  <r>
    <s v="E2C1123734"/>
    <d v="2017-03-04T00:00:00"/>
    <s v="22C0316253"/>
    <x v="7"/>
    <x v="0"/>
    <x v="4"/>
    <n v="5375"/>
    <n v="0"/>
    <n v="0"/>
    <n v="5375"/>
    <n v="0"/>
    <n v="0"/>
    <n v="0"/>
    <n v="0"/>
    <n v="57"/>
    <s v="46 To 60 Days"/>
    <d v="2017-04-30T00:00:00"/>
    <s v="AI"/>
    <m/>
    <m/>
    <m/>
    <s v="EDI - Sent"/>
    <d v="2017-03-06T00:00:00"/>
    <s v="EDI successfully sent"/>
    <s v="4750387490"/>
  </r>
  <r>
    <s v="E2C1124699"/>
    <d v="2017-03-07T00:00:00"/>
    <s v="22C0316302"/>
    <x v="80"/>
    <x v="0"/>
    <x v="13"/>
    <n v="5389"/>
    <n v="0"/>
    <n v="0"/>
    <n v="5389"/>
    <n v="0"/>
    <n v="0"/>
    <n v="0"/>
    <n v="0"/>
    <n v="54"/>
    <s v="46 To 60 Days"/>
    <d v="2017-04-30T00:00:00"/>
    <s v="AI"/>
    <m/>
    <m/>
    <m/>
    <m/>
    <m/>
    <m/>
    <s v="422803412"/>
  </r>
  <r>
    <s v="E2C1137687"/>
    <d v="2017-04-10T00:00:00"/>
    <s v="22C0320184"/>
    <x v="10"/>
    <x v="0"/>
    <x v="5"/>
    <n v="5395"/>
    <n v="5395"/>
    <n v="0"/>
    <n v="0"/>
    <n v="0"/>
    <n v="0"/>
    <n v="0"/>
    <n v="0"/>
    <n v="20"/>
    <s v="30 Days"/>
    <d v="2017-04-30T00:00:00"/>
    <s v="AI"/>
    <m/>
    <m/>
    <m/>
    <m/>
    <m/>
    <m/>
    <s v="4912911502"/>
  </r>
  <r>
    <s v="E2C1109361"/>
    <d v="2017-01-23T00:00:00"/>
    <s v="22C0311917"/>
    <x v="54"/>
    <x v="0"/>
    <x v="2"/>
    <n v="5416"/>
    <n v="0"/>
    <n v="0"/>
    <n v="0"/>
    <n v="0"/>
    <n v="5416"/>
    <n v="0"/>
    <n v="5416"/>
    <n v="97"/>
    <s v="91 To 120 Days"/>
    <d v="2017-04-30T00:00:00"/>
    <s v="AI"/>
    <m/>
    <m/>
    <m/>
    <m/>
    <m/>
    <m/>
    <s v="4560216624"/>
  </r>
  <r>
    <s v="E2C1123035"/>
    <d v="2017-03-02T00:00:00"/>
    <s v="22C0316198"/>
    <x v="24"/>
    <x v="0"/>
    <x v="16"/>
    <n v="5422"/>
    <n v="0"/>
    <n v="0"/>
    <n v="5422"/>
    <n v="0"/>
    <n v="0"/>
    <n v="0"/>
    <n v="0"/>
    <n v="59"/>
    <s v="46 To 60 Days"/>
    <d v="2017-04-30T00:00:00"/>
    <s v="AI"/>
    <m/>
    <m/>
    <m/>
    <m/>
    <m/>
    <m/>
    <s v="4041693408"/>
  </r>
  <r>
    <s v="E2C1133325"/>
    <d v="2017-03-30T00:00:00"/>
    <s v="22C0319300"/>
    <x v="54"/>
    <x v="0"/>
    <x v="2"/>
    <n v="5429"/>
    <n v="0"/>
    <n v="5429"/>
    <n v="0"/>
    <n v="0"/>
    <n v="0"/>
    <n v="0"/>
    <n v="0"/>
    <n v="31"/>
    <s v="31 TO 45 Days"/>
    <d v="2017-04-30T00:00:00"/>
    <s v="AI"/>
    <m/>
    <m/>
    <m/>
    <m/>
    <m/>
    <m/>
    <s v="4400189921"/>
  </r>
  <r>
    <s v="E2C1120774"/>
    <d v="2017-02-25T00:00:00"/>
    <s v="22C0314559"/>
    <x v="7"/>
    <x v="0"/>
    <x v="4"/>
    <n v="5430"/>
    <n v="0"/>
    <n v="0"/>
    <n v="0"/>
    <n v="5430"/>
    <n v="0"/>
    <n v="0"/>
    <n v="5430"/>
    <n v="64"/>
    <s v="61 To 90 Days"/>
    <d v="2017-04-30T00:00:00"/>
    <s v="AI"/>
    <m/>
    <m/>
    <m/>
    <s v="EDI - Sent"/>
    <d v="2017-03-02T00:00:00"/>
    <s v="EDI successfully sent"/>
    <s v="4750386589"/>
  </r>
  <r>
    <s v="E2C1120788"/>
    <d v="2017-02-25T00:00:00"/>
    <s v="22C0314564"/>
    <x v="7"/>
    <x v="0"/>
    <x v="4"/>
    <n v="5430"/>
    <n v="0"/>
    <n v="0"/>
    <n v="0"/>
    <n v="5430"/>
    <n v="0"/>
    <n v="0"/>
    <n v="5430"/>
    <n v="64"/>
    <s v="61 To 90 Days"/>
    <d v="2017-04-30T00:00:00"/>
    <s v="AI"/>
    <m/>
    <m/>
    <m/>
    <s v="EDI - Sent"/>
    <d v="2017-03-02T00:00:00"/>
    <s v="EDI successfully sent"/>
    <s v="4750386669"/>
  </r>
  <r>
    <s v="E2C1137693"/>
    <d v="2017-04-10T00:00:00"/>
    <s v="22C0320459"/>
    <x v="10"/>
    <x v="0"/>
    <x v="5"/>
    <n v="5430"/>
    <n v="5430"/>
    <n v="0"/>
    <n v="0"/>
    <n v="0"/>
    <n v="0"/>
    <n v="0"/>
    <n v="0"/>
    <n v="20"/>
    <s v="30 Days"/>
    <d v="2017-04-30T00:00:00"/>
    <s v="AI"/>
    <m/>
    <m/>
    <m/>
    <m/>
    <m/>
    <m/>
    <s v="4912912709"/>
  </r>
  <r>
    <s v="E2C1124918"/>
    <d v="2017-03-08T00:00:00"/>
    <s v="22C0316762"/>
    <x v="7"/>
    <x v="0"/>
    <x v="4"/>
    <n v="5446"/>
    <n v="0"/>
    <n v="0"/>
    <n v="5446"/>
    <n v="0"/>
    <n v="0"/>
    <n v="0"/>
    <n v="0"/>
    <n v="53"/>
    <s v="46 To 60 Days"/>
    <d v="2017-04-30T00:00:00"/>
    <s v="AI"/>
    <m/>
    <m/>
    <m/>
    <s v="EDI - Sent"/>
    <d v="2017-03-08T00:00:00"/>
    <s v="EDI successfully sent"/>
    <s v="4750387708"/>
  </r>
  <r>
    <s v="E2C1137735"/>
    <d v="2017-04-10T00:00:00"/>
    <s v="22C0320701"/>
    <x v="10"/>
    <x v="0"/>
    <x v="5"/>
    <n v="5453"/>
    <n v="5453"/>
    <n v="0"/>
    <n v="0"/>
    <n v="0"/>
    <n v="0"/>
    <n v="0"/>
    <n v="0"/>
    <n v="20"/>
    <s v="30 Days"/>
    <d v="2017-04-30T00:00:00"/>
    <s v="AI"/>
    <m/>
    <m/>
    <m/>
    <m/>
    <m/>
    <m/>
    <s v="4912914341"/>
  </r>
  <r>
    <s v="E2C1120779"/>
    <d v="2017-02-25T00:00:00"/>
    <s v="22C0314562"/>
    <x v="7"/>
    <x v="0"/>
    <x v="4"/>
    <n v="5465"/>
    <n v="0"/>
    <n v="0"/>
    <n v="0"/>
    <n v="5465"/>
    <n v="0"/>
    <n v="0"/>
    <n v="5465"/>
    <n v="64"/>
    <s v="61 To 90 Days"/>
    <d v="2017-04-30T00:00:00"/>
    <s v="AI"/>
    <m/>
    <m/>
    <m/>
    <s v="EDI - Sent"/>
    <d v="2017-03-02T00:00:00"/>
    <s v="EDI successfully sent"/>
    <s v="4750386637"/>
  </r>
  <r>
    <s v="E2C1115313"/>
    <d v="2017-02-08T00:00:00"/>
    <s v="22C0313456"/>
    <x v="7"/>
    <x v="0"/>
    <x v="4"/>
    <n v="5477"/>
    <n v="0"/>
    <n v="0"/>
    <n v="0"/>
    <n v="5477"/>
    <n v="0"/>
    <n v="0"/>
    <n v="5477"/>
    <n v="81"/>
    <s v="61 To 90 Days"/>
    <d v="2017-04-30T00:00:00"/>
    <s v="AI"/>
    <m/>
    <m/>
    <m/>
    <s v="EDI - Sent"/>
    <d v="2017-02-08T00:00:00"/>
    <s v="EDI successfully sent"/>
    <s v="4750385777"/>
  </r>
  <r>
    <s v="E2C1115312"/>
    <d v="2017-02-08T00:00:00"/>
    <s v="22C0313453"/>
    <x v="7"/>
    <x v="0"/>
    <x v="4"/>
    <n v="5481"/>
    <n v="0"/>
    <n v="0"/>
    <n v="0"/>
    <n v="5481"/>
    <n v="0"/>
    <n v="0"/>
    <n v="5481"/>
    <n v="81"/>
    <s v="61 To 90 Days"/>
    <d v="2017-04-30T00:00:00"/>
    <s v="AI"/>
    <m/>
    <m/>
    <m/>
    <s v="EDI - Sent"/>
    <d v="2017-02-08T00:00:00"/>
    <s v="EDI successfully sent"/>
    <s v="4750385634"/>
  </r>
  <r>
    <s v="E2C1137490"/>
    <d v="2017-04-10T00:00:00"/>
    <s v="22C0320752"/>
    <x v="1"/>
    <x v="0"/>
    <x v="1"/>
    <n v="5489"/>
    <n v="5489"/>
    <n v="0"/>
    <n v="0"/>
    <n v="0"/>
    <n v="0"/>
    <n v="0"/>
    <n v="0"/>
    <n v="20"/>
    <s v="30 Days"/>
    <d v="2017-04-30T00:00:00"/>
    <s v="AI"/>
    <m/>
    <m/>
    <m/>
    <m/>
    <m/>
    <m/>
    <s v="4540131666"/>
  </r>
  <r>
    <s v="E2C1118655"/>
    <d v="2017-02-18T00:00:00"/>
    <s v="22C0313784"/>
    <x v="1"/>
    <x v="0"/>
    <x v="1"/>
    <n v="5493"/>
    <n v="0"/>
    <n v="0"/>
    <n v="0"/>
    <n v="5493"/>
    <n v="0"/>
    <n v="0"/>
    <n v="5493"/>
    <n v="71"/>
    <s v="61 To 90 Days"/>
    <d v="2017-04-30T00:00:00"/>
    <s v="AI"/>
    <m/>
    <m/>
    <m/>
    <m/>
    <m/>
    <m/>
    <s v="4750384381"/>
  </r>
  <r>
    <s v="E2C1120776"/>
    <d v="2017-02-25T00:00:00"/>
    <s v="22C0314561"/>
    <x v="7"/>
    <x v="0"/>
    <x v="4"/>
    <n v="5510"/>
    <n v="0"/>
    <n v="0"/>
    <n v="0"/>
    <n v="5510"/>
    <n v="0"/>
    <n v="0"/>
    <n v="5510"/>
    <n v="64"/>
    <s v="61 To 90 Days"/>
    <d v="2017-04-30T00:00:00"/>
    <s v="AI"/>
    <m/>
    <m/>
    <m/>
    <s v="EDI - Sent"/>
    <d v="2017-03-02T00:00:00"/>
    <s v="EDI successfully sent"/>
    <s v="4750386634"/>
  </r>
  <r>
    <s v="E2C1120775"/>
    <d v="2017-02-25T00:00:00"/>
    <s v="22C0314560"/>
    <x v="7"/>
    <x v="0"/>
    <x v="4"/>
    <n v="5534"/>
    <n v="0"/>
    <n v="0"/>
    <n v="0"/>
    <n v="5534"/>
    <n v="0"/>
    <n v="0"/>
    <n v="5534"/>
    <n v="64"/>
    <s v="61 To 90 Days"/>
    <d v="2017-04-30T00:00:00"/>
    <s v="AI"/>
    <m/>
    <m/>
    <m/>
    <s v="EDI - Sent"/>
    <d v="2017-03-02T00:00:00"/>
    <s v="EDI successfully sent"/>
    <s v="4750386590"/>
  </r>
  <r>
    <s v="E2C1128352"/>
    <d v="2017-03-18T00:00:00"/>
    <s v="22C0317162"/>
    <x v="70"/>
    <x v="0"/>
    <x v="7"/>
    <n v="5537"/>
    <n v="0"/>
    <n v="5537"/>
    <n v="0"/>
    <n v="0"/>
    <n v="0"/>
    <n v="0"/>
    <n v="0"/>
    <n v="43"/>
    <s v="31 TO 45 Days"/>
    <d v="2017-04-30T00:00:00"/>
    <s v="AI"/>
    <m/>
    <m/>
    <m/>
    <m/>
    <m/>
    <m/>
    <s v="4540130795"/>
  </r>
  <r>
    <s v="E2C1138820"/>
    <d v="2017-04-12T00:00:00"/>
    <s v="22C0320922"/>
    <x v="10"/>
    <x v="0"/>
    <x v="5"/>
    <n v="5558"/>
    <n v="5558"/>
    <n v="0"/>
    <n v="0"/>
    <n v="0"/>
    <n v="0"/>
    <n v="0"/>
    <n v="0"/>
    <n v="18"/>
    <s v="30 Days"/>
    <d v="2017-04-30T00:00:00"/>
    <s v="AI"/>
    <m/>
    <m/>
    <m/>
    <m/>
    <m/>
    <m/>
    <s v="4912914912"/>
  </r>
  <r>
    <s v="E2C1108839"/>
    <d v="2017-01-20T00:00:00"/>
    <s v="22C0311046"/>
    <x v="61"/>
    <x v="0"/>
    <x v="2"/>
    <n v="5565"/>
    <n v="0"/>
    <n v="0"/>
    <n v="0"/>
    <n v="0"/>
    <n v="5565"/>
    <n v="0"/>
    <n v="5565"/>
    <n v="100"/>
    <s v="91 To 120 Days"/>
    <d v="2017-04-30T00:00:00"/>
    <s v="AI"/>
    <m/>
    <m/>
    <m/>
    <m/>
    <m/>
    <m/>
    <s v="4711222729"/>
  </r>
  <r>
    <s v="E2C1133330"/>
    <d v="2017-03-30T00:00:00"/>
    <s v="22C0319325"/>
    <x v="54"/>
    <x v="0"/>
    <x v="2"/>
    <n v="5568"/>
    <n v="0"/>
    <n v="5568"/>
    <n v="0"/>
    <n v="0"/>
    <n v="0"/>
    <n v="0"/>
    <n v="0"/>
    <n v="31"/>
    <s v="31 TO 45 Days"/>
    <d v="2017-04-30T00:00:00"/>
    <s v="AI"/>
    <m/>
    <m/>
    <m/>
    <m/>
    <m/>
    <m/>
    <s v="4560218844"/>
  </r>
  <r>
    <s v="E2C1120456"/>
    <d v="2017-02-24T00:00:00"/>
    <s v="22C0315137"/>
    <x v="54"/>
    <x v="0"/>
    <x v="2"/>
    <n v="5569"/>
    <n v="0"/>
    <n v="0"/>
    <n v="0"/>
    <n v="5569"/>
    <n v="0"/>
    <n v="0"/>
    <n v="5569"/>
    <n v="65"/>
    <s v="61 To 90 Days"/>
    <d v="2017-04-30T00:00:00"/>
    <s v="AI"/>
    <m/>
    <m/>
    <m/>
    <m/>
    <m/>
    <m/>
    <s v="4570269146"/>
  </r>
  <r>
    <s v="E2C1134266"/>
    <d v="2017-03-31T00:00:00"/>
    <s v="22C0319622"/>
    <x v="10"/>
    <x v="0"/>
    <x v="5"/>
    <n v="5569"/>
    <n v="5569"/>
    <n v="0"/>
    <n v="0"/>
    <n v="0"/>
    <n v="0"/>
    <n v="0"/>
    <n v="0"/>
    <n v="30"/>
    <s v="30 Days"/>
    <d v="2017-04-30T00:00:00"/>
    <s v="AI"/>
    <m/>
    <m/>
    <m/>
    <m/>
    <m/>
    <m/>
    <s v="4912905602"/>
  </r>
  <r>
    <s v="E2C1130007"/>
    <d v="2017-03-22T00:00:00"/>
    <s v="22C0318271"/>
    <x v="54"/>
    <x v="0"/>
    <x v="2"/>
    <n v="5591"/>
    <n v="0"/>
    <n v="5591"/>
    <n v="0"/>
    <n v="0"/>
    <n v="0"/>
    <n v="0"/>
    <n v="0"/>
    <n v="39"/>
    <s v="31 TO 45 Days"/>
    <d v="2017-04-30T00:00:00"/>
    <s v="AI"/>
    <m/>
    <m/>
    <m/>
    <m/>
    <m/>
    <m/>
    <s v="4400189623"/>
  </r>
  <r>
    <s v="E2C1111405"/>
    <d v="2017-01-28T00:00:00"/>
    <s v="22C0312371"/>
    <x v="7"/>
    <x v="0"/>
    <x v="4"/>
    <n v="5592"/>
    <n v="0"/>
    <n v="0"/>
    <n v="0"/>
    <n v="0"/>
    <n v="5592"/>
    <n v="0"/>
    <n v="5592"/>
    <n v="92"/>
    <s v="91 To 120 Days"/>
    <d v="2017-04-30T00:00:00"/>
    <s v="AI"/>
    <m/>
    <m/>
    <m/>
    <s v="EDI - Sent"/>
    <d v="2017-01-30T00:00:00"/>
    <s v="EDI successfully sent"/>
    <s v="4750384951"/>
  </r>
  <r>
    <s v="E2C1111403"/>
    <d v="2017-01-28T00:00:00"/>
    <s v="22C0312370"/>
    <x v="7"/>
    <x v="0"/>
    <x v="4"/>
    <n v="5602"/>
    <n v="0"/>
    <n v="0"/>
    <n v="0"/>
    <n v="0"/>
    <n v="5602"/>
    <n v="0"/>
    <n v="5602"/>
    <n v="92"/>
    <s v="91 To 120 Days"/>
    <d v="2017-04-30T00:00:00"/>
    <s v="AI"/>
    <m/>
    <m/>
    <m/>
    <s v="EDI - Sent"/>
    <d v="2017-01-30T00:00:00"/>
    <s v="EDI successfully sent"/>
    <s v="4750384904"/>
  </r>
  <r>
    <s v="E2C1116394"/>
    <d v="2017-02-10T00:00:00"/>
    <s v="22C0313705"/>
    <x v="54"/>
    <x v="0"/>
    <x v="2"/>
    <n v="5611"/>
    <n v="0"/>
    <n v="0"/>
    <n v="0"/>
    <n v="5611"/>
    <n v="0"/>
    <n v="0"/>
    <n v="5611"/>
    <n v="79"/>
    <s v="61 To 90 Days"/>
    <d v="2017-04-30T00:00:00"/>
    <s v="AI"/>
    <m/>
    <m/>
    <m/>
    <m/>
    <m/>
    <m/>
    <s v="4400187848"/>
  </r>
  <r>
    <s v="E2C1137698"/>
    <d v="2017-04-10T00:00:00"/>
    <s v="22C0320570"/>
    <x v="61"/>
    <x v="0"/>
    <x v="2"/>
    <n v="5614"/>
    <n v="5614"/>
    <n v="0"/>
    <n v="0"/>
    <n v="0"/>
    <n v="0"/>
    <n v="0"/>
    <n v="0"/>
    <n v="20"/>
    <s v="30 Days"/>
    <d v="2017-04-30T00:00:00"/>
    <s v="AI"/>
    <m/>
    <m/>
    <m/>
    <m/>
    <m/>
    <m/>
    <s v="4711242175"/>
  </r>
  <r>
    <s v="E2C1113703"/>
    <d v="2017-02-02T00:00:00"/>
    <s v="22C0312940"/>
    <x v="69"/>
    <x v="0"/>
    <x v="2"/>
    <n v="5637"/>
    <n v="0"/>
    <n v="0"/>
    <n v="0"/>
    <n v="5637"/>
    <n v="0"/>
    <n v="0"/>
    <n v="5637"/>
    <n v="87"/>
    <s v="61 To 90 Days"/>
    <d v="2017-04-30T00:00:00"/>
    <s v="AI"/>
    <m/>
    <m/>
    <m/>
    <m/>
    <m/>
    <m/>
    <s v="4570267814"/>
  </r>
  <r>
    <s v="E2C1098850"/>
    <d v="2016-12-26T00:00:00"/>
    <s v="22C0308847"/>
    <x v="61"/>
    <x v="0"/>
    <x v="2"/>
    <n v="5639"/>
    <n v="0"/>
    <n v="0"/>
    <n v="0"/>
    <n v="0"/>
    <n v="0"/>
    <n v="5639"/>
    <n v="5639"/>
    <n v="125"/>
    <s v="Plus120Days"/>
    <d v="2017-04-30T00:00:00"/>
    <s v="AI"/>
    <m/>
    <m/>
    <m/>
    <m/>
    <m/>
    <m/>
    <s v="4711218228"/>
  </r>
  <r>
    <s v="E2C1133808"/>
    <d v="2017-03-30T00:00:00"/>
    <s v="22C0319667"/>
    <x v="61"/>
    <x v="0"/>
    <x v="2"/>
    <n v="5649"/>
    <n v="0"/>
    <n v="5649"/>
    <n v="0"/>
    <n v="0"/>
    <n v="0"/>
    <n v="0"/>
    <n v="0"/>
    <n v="31"/>
    <s v="31 TO 45 Days"/>
    <d v="2017-04-30T00:00:00"/>
    <s v="AI"/>
    <m/>
    <m/>
    <m/>
    <m/>
    <m/>
    <m/>
    <s v="4711239543"/>
  </r>
  <r>
    <s v="E2C1134700"/>
    <d v="2017-03-31T00:00:00"/>
    <s v="22C0319839"/>
    <x v="7"/>
    <x v="0"/>
    <x v="4"/>
    <n v="5660"/>
    <n v="5660"/>
    <n v="0"/>
    <n v="0"/>
    <n v="0"/>
    <n v="0"/>
    <n v="0"/>
    <n v="0"/>
    <n v="30"/>
    <s v="30 Days"/>
    <d v="2017-04-30T00:00:00"/>
    <s v="AI"/>
    <m/>
    <m/>
    <m/>
    <s v="EDI - Sent"/>
    <d v="2017-03-31T00:00:00"/>
    <s v="EDI successfully sent"/>
    <s v="4750389219"/>
  </r>
  <r>
    <s v="E2C1129518"/>
    <d v="2017-03-21T00:00:00"/>
    <s v="22C0318448"/>
    <x v="81"/>
    <x v="0"/>
    <x v="3"/>
    <n v="5660"/>
    <n v="0"/>
    <n v="5660"/>
    <n v="0"/>
    <n v="0"/>
    <n v="0"/>
    <n v="0"/>
    <n v="0"/>
    <n v="40"/>
    <s v="31 TO 45 Days"/>
    <d v="2017-04-30T00:00:00"/>
    <s v="AI"/>
    <m/>
    <m/>
    <m/>
    <s v="EDI - Sent"/>
    <d v="2017-03-21T00:00:00"/>
    <s v="EDI successfully sent"/>
    <s v="419166210"/>
  </r>
  <r>
    <s v="E2C1135573"/>
    <d v="2017-04-04T00:00:00"/>
    <s v="22C0320374"/>
    <x v="81"/>
    <x v="0"/>
    <x v="3"/>
    <n v="5664"/>
    <n v="5664"/>
    <n v="0"/>
    <n v="0"/>
    <n v="0"/>
    <n v="0"/>
    <n v="0"/>
    <n v="0"/>
    <n v="26"/>
    <s v="30 Days"/>
    <d v="2017-04-30T00:00:00"/>
    <s v="AI"/>
    <m/>
    <m/>
    <m/>
    <s v="EDI - Sent"/>
    <d v="2017-04-04T00:00:00"/>
    <s v="EDI successfully sent"/>
    <s v="419166306"/>
  </r>
  <r>
    <s v="E2C1132489"/>
    <d v="2017-03-28T00:00:00"/>
    <s v="22C0318674"/>
    <x v="81"/>
    <x v="0"/>
    <x v="3"/>
    <n v="5666"/>
    <n v="0"/>
    <n v="5666"/>
    <n v="0"/>
    <n v="0"/>
    <n v="0"/>
    <n v="0"/>
    <n v="0"/>
    <n v="33"/>
    <s v="31 TO 45 Days"/>
    <d v="2017-04-30T00:00:00"/>
    <s v="AI"/>
    <m/>
    <m/>
    <m/>
    <s v="EDI - Sent"/>
    <d v="2017-03-28T00:00:00"/>
    <s v="EDI successfully sent"/>
    <s v="419166300"/>
  </r>
  <r>
    <s v="E2C1137701"/>
    <d v="2017-04-10T00:00:00"/>
    <s v="22C0320043"/>
    <x v="10"/>
    <x v="0"/>
    <x v="5"/>
    <n v="5667"/>
    <n v="5667"/>
    <n v="0"/>
    <n v="0"/>
    <n v="0"/>
    <n v="0"/>
    <n v="0"/>
    <n v="0"/>
    <n v="20"/>
    <s v="30 Days"/>
    <d v="2017-04-30T00:00:00"/>
    <s v="AI"/>
    <m/>
    <m/>
    <m/>
    <m/>
    <m/>
    <m/>
    <s v="4912910538"/>
  </r>
  <r>
    <s v="E2C1137721"/>
    <d v="2017-04-10T00:00:00"/>
    <s v="22C0320187"/>
    <x v="10"/>
    <x v="0"/>
    <x v="5"/>
    <n v="5669"/>
    <n v="5669"/>
    <n v="0"/>
    <n v="0"/>
    <n v="0"/>
    <n v="0"/>
    <n v="0"/>
    <n v="0"/>
    <n v="20"/>
    <s v="30 Days"/>
    <d v="2017-04-30T00:00:00"/>
    <s v="AI"/>
    <m/>
    <m/>
    <m/>
    <m/>
    <m/>
    <m/>
    <s v="4912911507"/>
  </r>
  <r>
    <s v="E2C1137829"/>
    <d v="2017-04-10T00:00:00"/>
    <s v="22C0320479"/>
    <x v="69"/>
    <x v="0"/>
    <x v="2"/>
    <n v="5685"/>
    <n v="5685"/>
    <n v="0"/>
    <n v="0"/>
    <n v="0"/>
    <n v="0"/>
    <n v="0"/>
    <n v="0"/>
    <n v="20"/>
    <s v="30 Days"/>
    <d v="2017-04-30T00:00:00"/>
    <s v="AI"/>
    <m/>
    <m/>
    <m/>
    <m/>
    <m/>
    <m/>
    <s v="4930437396"/>
  </r>
  <r>
    <s v="E2C1132488"/>
    <d v="2017-03-28T00:00:00"/>
    <s v="22C0318675"/>
    <x v="81"/>
    <x v="0"/>
    <x v="3"/>
    <n v="5697"/>
    <n v="0"/>
    <n v="5697"/>
    <n v="0"/>
    <n v="0"/>
    <n v="0"/>
    <n v="0"/>
    <n v="0"/>
    <n v="33"/>
    <s v="31 TO 45 Days"/>
    <d v="2017-04-30T00:00:00"/>
    <s v="AI"/>
    <m/>
    <m/>
    <m/>
    <s v="EDI - Sent"/>
    <d v="2017-03-28T00:00:00"/>
    <s v="EDI successfully sent"/>
    <s v="419166304"/>
  </r>
  <r>
    <s v="E2C1122503"/>
    <d v="2017-02-28T00:00:00"/>
    <s v="22C0313484"/>
    <x v="67"/>
    <x v="0"/>
    <x v="17"/>
    <n v="5717"/>
    <n v="0"/>
    <n v="0"/>
    <n v="0"/>
    <n v="5717"/>
    <n v="0"/>
    <n v="0"/>
    <n v="5717"/>
    <n v="61"/>
    <s v="61 To 90 Days"/>
    <d v="2017-04-30T00:00:00"/>
    <s v="AI"/>
    <m/>
    <m/>
    <m/>
    <m/>
    <m/>
    <m/>
    <s v="4540129909"/>
  </r>
  <r>
    <s v="E2C1120794"/>
    <d v="2017-02-25T00:00:00"/>
    <s v="22C0314818"/>
    <x v="7"/>
    <x v="0"/>
    <x v="4"/>
    <n v="5731"/>
    <n v="0"/>
    <n v="0"/>
    <n v="0"/>
    <n v="5731"/>
    <n v="0"/>
    <n v="0"/>
    <n v="5731"/>
    <n v="64"/>
    <s v="61 To 90 Days"/>
    <d v="2017-04-30T00:00:00"/>
    <s v="AI"/>
    <m/>
    <m/>
    <m/>
    <s v="EDI - Sent"/>
    <d v="2017-03-02T00:00:00"/>
    <s v="EDI successfully sent"/>
    <s v="4750386650"/>
  </r>
  <r>
    <s v="E2C1116962"/>
    <d v="2017-02-14T00:00:00"/>
    <s v="22C0313777"/>
    <x v="24"/>
    <x v="0"/>
    <x v="16"/>
    <n v="5732"/>
    <n v="0"/>
    <n v="0"/>
    <n v="0"/>
    <n v="5732"/>
    <n v="0"/>
    <n v="0"/>
    <n v="5732"/>
    <n v="75"/>
    <s v="61 To 90 Days"/>
    <d v="2017-04-30T00:00:00"/>
    <s v="AI"/>
    <m/>
    <m/>
    <m/>
    <m/>
    <m/>
    <m/>
    <s v="4570268395"/>
  </r>
  <r>
    <s v="E2C1121183"/>
    <d v="2017-02-27T00:00:00"/>
    <s v="22C0314434"/>
    <x v="1"/>
    <x v="0"/>
    <x v="1"/>
    <n v="5744"/>
    <n v="0"/>
    <n v="0"/>
    <n v="0"/>
    <n v="5744"/>
    <n v="0"/>
    <n v="0"/>
    <n v="5744"/>
    <n v="62"/>
    <s v="61 To 90 Days"/>
    <d v="2017-04-30T00:00:00"/>
    <s v="AI"/>
    <m/>
    <m/>
    <m/>
    <m/>
    <m/>
    <m/>
    <s v="4540130291"/>
  </r>
  <r>
    <s v="E2C1132397"/>
    <d v="2017-03-28T00:00:00"/>
    <s v="22C0319414"/>
    <x v="61"/>
    <x v="0"/>
    <x v="2"/>
    <n v="5761"/>
    <n v="0"/>
    <n v="5761"/>
    <n v="0"/>
    <n v="0"/>
    <n v="0"/>
    <n v="0"/>
    <n v="0"/>
    <n v="33"/>
    <s v="31 TO 45 Days"/>
    <d v="2017-04-30T00:00:00"/>
    <s v="AI"/>
    <m/>
    <m/>
    <m/>
    <m/>
    <m/>
    <m/>
    <s v="4711238679"/>
  </r>
  <r>
    <s v="E2C1135993"/>
    <d v="2017-04-05T00:00:00"/>
    <s v="22C0320375"/>
    <x v="81"/>
    <x v="0"/>
    <x v="3"/>
    <n v="5761"/>
    <n v="5761"/>
    <n v="0"/>
    <n v="0"/>
    <n v="0"/>
    <n v="0"/>
    <n v="0"/>
    <n v="0"/>
    <n v="25"/>
    <s v="30 Days"/>
    <d v="2017-04-30T00:00:00"/>
    <s v="AI"/>
    <m/>
    <m/>
    <m/>
    <s v="EDI - Sent"/>
    <d v="2017-04-05T00:00:00"/>
    <s v="EDI successfully sent"/>
    <s v="419166513"/>
  </r>
  <r>
    <s v="E2C1137699"/>
    <d v="2017-04-10T00:00:00"/>
    <s v="22C0320702"/>
    <x v="10"/>
    <x v="0"/>
    <x v="5"/>
    <n v="5767"/>
    <n v="5767"/>
    <n v="0"/>
    <n v="0"/>
    <n v="0"/>
    <n v="0"/>
    <n v="0"/>
    <n v="0"/>
    <n v="20"/>
    <s v="30 Days"/>
    <d v="2017-04-30T00:00:00"/>
    <s v="AI"/>
    <m/>
    <m/>
    <m/>
    <m/>
    <m/>
    <m/>
    <s v="4912914343"/>
  </r>
  <r>
    <s v="E2C1104565"/>
    <d v="2017-01-09T00:00:00"/>
    <s v="22C0310247"/>
    <x v="54"/>
    <x v="0"/>
    <x v="2"/>
    <n v="5782"/>
    <n v="0"/>
    <n v="0"/>
    <n v="0"/>
    <n v="0"/>
    <n v="5782"/>
    <n v="0"/>
    <n v="5782"/>
    <n v="111"/>
    <s v="91 To 120 Days"/>
    <d v="2017-04-30T00:00:00"/>
    <s v="AI"/>
    <m/>
    <m/>
    <m/>
    <m/>
    <m/>
    <m/>
    <s v="4560216078"/>
  </r>
  <r>
    <s v="E2C1110001"/>
    <d v="2017-01-24T00:00:00"/>
    <s v="22C0311896"/>
    <x v="61"/>
    <x v="0"/>
    <x v="2"/>
    <n v="5793"/>
    <n v="0"/>
    <n v="0"/>
    <n v="0"/>
    <n v="0"/>
    <n v="5793"/>
    <n v="0"/>
    <n v="5793"/>
    <n v="96"/>
    <s v="91 To 120 Days"/>
    <d v="2017-04-30T00:00:00"/>
    <s v="AI"/>
    <m/>
    <m/>
    <m/>
    <m/>
    <m/>
    <m/>
    <s v="4711224201"/>
  </r>
  <r>
    <s v="E2C1133199"/>
    <d v="2017-03-30T00:00:00"/>
    <s v="22C0319237"/>
    <x v="24"/>
    <x v="0"/>
    <x v="16"/>
    <n v="5802"/>
    <n v="0"/>
    <n v="5802"/>
    <n v="0"/>
    <n v="0"/>
    <n v="0"/>
    <n v="0"/>
    <n v="0"/>
    <n v="31"/>
    <s v="31 TO 45 Days"/>
    <d v="2017-04-30T00:00:00"/>
    <s v="AI"/>
    <m/>
    <m/>
    <m/>
    <s v="EDE - Error"/>
    <d v="2017-03-30T00:00:00"/>
    <s v="=&quot;Input Control: 975677305ERROR:  No cdf conversion exists in_x000d_        parker_hannifin_ct_logistics_210_PARK210_charge_codes.cdf for GL Code_x000d_        2102 or 2102_FUEL SURCHARGE billed on Invoice 22C0319237, Sequential_x000d_        Invoice E2C1133199. Please ver"/>
    <s v="4812075906"/>
  </r>
  <r>
    <s v="E2C1132499"/>
    <d v="2017-03-28T00:00:00"/>
    <s v="22C0319378"/>
    <x v="81"/>
    <x v="0"/>
    <x v="3"/>
    <n v="5820"/>
    <n v="0"/>
    <n v="5820"/>
    <n v="0"/>
    <n v="0"/>
    <n v="0"/>
    <n v="0"/>
    <n v="0"/>
    <n v="33"/>
    <s v="31 TO 45 Days"/>
    <d v="2017-04-30T00:00:00"/>
    <s v="AI"/>
    <m/>
    <m/>
    <m/>
    <s v="EDI - Sent"/>
    <d v="2017-03-28T00:00:00"/>
    <s v="EDI successfully sent"/>
    <s v="419166410"/>
  </r>
  <r>
    <s v="E2C1131023"/>
    <d v="2017-03-24T00:00:00"/>
    <s v="22C0318141"/>
    <x v="82"/>
    <x v="0"/>
    <x v="2"/>
    <n v="5836"/>
    <n v="0"/>
    <n v="5836"/>
    <n v="0"/>
    <n v="0"/>
    <n v="0"/>
    <n v="0"/>
    <n v="0"/>
    <n v="37"/>
    <s v="31 TO 45 Days"/>
    <d v="2017-04-30T00:00:00"/>
    <s v="AI"/>
    <m/>
    <m/>
    <m/>
    <m/>
    <m/>
    <m/>
    <s v="4812074916"/>
  </r>
  <r>
    <s v="E2C1139683"/>
    <d v="2017-04-15T00:00:00"/>
    <s v="22C0321589"/>
    <x v="83"/>
    <x v="0"/>
    <x v="23"/>
    <n v="5841"/>
    <n v="5841"/>
    <n v="0"/>
    <n v="0"/>
    <n v="0"/>
    <n v="0"/>
    <n v="0"/>
    <n v="0"/>
    <n v="15"/>
    <s v="30 Days"/>
    <d v="2017-04-30T00:00:00"/>
    <s v="AI"/>
    <m/>
    <m/>
    <m/>
    <m/>
    <m/>
    <m/>
    <s v="4200122218"/>
  </r>
  <r>
    <s v="E2C1139712"/>
    <d v="2017-04-15T00:00:00"/>
    <s v="22C0321432"/>
    <x v="83"/>
    <x v="0"/>
    <x v="23"/>
    <n v="5841"/>
    <n v="5841"/>
    <n v="0"/>
    <n v="0"/>
    <n v="0"/>
    <n v="0"/>
    <n v="0"/>
    <n v="0"/>
    <n v="15"/>
    <s v="30 Days"/>
    <d v="2017-04-30T00:00:00"/>
    <s v="AI"/>
    <m/>
    <m/>
    <m/>
    <m/>
    <m/>
    <m/>
    <s v="4200122184"/>
  </r>
  <r>
    <s v="E2C1137679"/>
    <d v="2017-04-10T00:00:00"/>
    <s v="22C0320046"/>
    <x v="10"/>
    <x v="0"/>
    <x v="5"/>
    <n v="5842"/>
    <n v="5842"/>
    <n v="0"/>
    <n v="0"/>
    <n v="0"/>
    <n v="0"/>
    <n v="0"/>
    <n v="0"/>
    <n v="20"/>
    <s v="30 Days"/>
    <d v="2017-04-30T00:00:00"/>
    <s v="AI"/>
    <m/>
    <m/>
    <m/>
    <m/>
    <m/>
    <m/>
    <s v="4912910578"/>
  </r>
  <r>
    <s v="E2C1132492"/>
    <d v="2017-03-28T00:00:00"/>
    <s v="22C0318673"/>
    <x v="81"/>
    <x v="0"/>
    <x v="3"/>
    <n v="5846"/>
    <n v="0"/>
    <n v="5846"/>
    <n v="0"/>
    <n v="0"/>
    <n v="0"/>
    <n v="0"/>
    <n v="0"/>
    <n v="33"/>
    <s v="31 TO 45 Days"/>
    <d v="2017-04-30T00:00:00"/>
    <s v="AI"/>
    <m/>
    <m/>
    <m/>
    <s v="EDI - Sent"/>
    <d v="2017-03-28T00:00:00"/>
    <s v="EDI successfully sent"/>
    <s v="419166212"/>
  </r>
  <r>
    <s v="E2C1098630"/>
    <d v="2016-12-24T00:00:00"/>
    <s v="22C0307787"/>
    <x v="7"/>
    <x v="0"/>
    <x v="4"/>
    <n v="5849"/>
    <n v="0"/>
    <n v="0"/>
    <n v="0"/>
    <n v="0"/>
    <n v="0"/>
    <n v="5849"/>
    <n v="5849"/>
    <n v="127"/>
    <s v="Plus120Days"/>
    <d v="2017-04-30T00:00:00"/>
    <s v="AI"/>
    <m/>
    <m/>
    <m/>
    <s v="EDI - Sent"/>
    <m/>
    <m/>
    <s v="4750382871"/>
  </r>
  <r>
    <s v="E2C1134694"/>
    <d v="2017-03-31T00:00:00"/>
    <s v="22C0319838"/>
    <x v="7"/>
    <x v="0"/>
    <x v="4"/>
    <n v="5853"/>
    <n v="5853"/>
    <n v="0"/>
    <n v="0"/>
    <n v="0"/>
    <n v="0"/>
    <n v="0"/>
    <n v="0"/>
    <n v="30"/>
    <s v="30 Days"/>
    <d v="2017-04-30T00:00:00"/>
    <s v="AI"/>
    <m/>
    <m/>
    <m/>
    <s v="EDI - Sent"/>
    <d v="2017-03-31T00:00:00"/>
    <s v="EDI successfully sent"/>
    <s v="4750389160"/>
  </r>
  <r>
    <s v="E2C1121390"/>
    <d v="2017-02-27T00:00:00"/>
    <s v="22C0315592"/>
    <x v="81"/>
    <x v="0"/>
    <x v="3"/>
    <n v="5853"/>
    <n v="0"/>
    <n v="0"/>
    <n v="0"/>
    <n v="5853"/>
    <n v="0"/>
    <n v="0"/>
    <n v="5853"/>
    <n v="62"/>
    <s v="61 To 90 Days"/>
    <d v="2017-04-30T00:00:00"/>
    <s v="AI"/>
    <m/>
    <m/>
    <m/>
    <s v="EDI - Sent"/>
    <d v="2017-03-02T00:00:00"/>
    <s v="EDI successfully sent"/>
    <s v="419165640"/>
  </r>
  <r>
    <s v="E2C1127567"/>
    <d v="2017-03-16T00:00:00"/>
    <s v="22C0317018"/>
    <x v="54"/>
    <x v="0"/>
    <x v="2"/>
    <n v="5856"/>
    <n v="0"/>
    <n v="5856"/>
    <n v="0"/>
    <n v="0"/>
    <n v="0"/>
    <n v="0"/>
    <n v="0"/>
    <n v="45"/>
    <s v="31 TO 45 Days"/>
    <d v="2017-04-30T00:00:00"/>
    <s v="AI"/>
    <m/>
    <m/>
    <m/>
    <m/>
    <m/>
    <m/>
    <s v="4570269725"/>
  </r>
  <r>
    <s v="E2C1127509"/>
    <d v="2017-03-16T00:00:00"/>
    <s v="22C0316934"/>
    <x v="61"/>
    <x v="0"/>
    <x v="2"/>
    <n v="5872"/>
    <n v="0"/>
    <n v="5872"/>
    <n v="0"/>
    <n v="0"/>
    <n v="0"/>
    <n v="0"/>
    <n v="0"/>
    <n v="45"/>
    <s v="31 TO 45 Days"/>
    <d v="2017-04-30T00:00:00"/>
    <s v="AI"/>
    <m/>
    <m/>
    <m/>
    <m/>
    <m/>
    <m/>
    <s v="4711234822"/>
  </r>
  <r>
    <s v="E2C1111891"/>
    <d v="2017-01-30T00:00:00"/>
    <s v="22C0312465"/>
    <x v="61"/>
    <x v="0"/>
    <x v="2"/>
    <n v="5878"/>
    <n v="0"/>
    <n v="0"/>
    <n v="0"/>
    <n v="5878"/>
    <n v="0"/>
    <n v="0"/>
    <n v="5878"/>
    <n v="90"/>
    <s v="61 To 90 Days"/>
    <d v="2017-04-30T00:00:00"/>
    <s v="AI"/>
    <m/>
    <m/>
    <m/>
    <m/>
    <m/>
    <m/>
    <s v="4711225490"/>
  </r>
  <r>
    <s v="E2C1136002"/>
    <d v="2017-04-05T00:00:00"/>
    <s v="22C0317967"/>
    <x v="67"/>
    <x v="0"/>
    <x v="17"/>
    <n v="5884"/>
    <n v="5884"/>
    <n v="0"/>
    <n v="0"/>
    <n v="0"/>
    <n v="0"/>
    <n v="0"/>
    <n v="0"/>
    <n v="25"/>
    <s v="30 Days"/>
    <d v="2017-04-30T00:00:00"/>
    <s v="AI"/>
    <m/>
    <m/>
    <m/>
    <m/>
    <m/>
    <m/>
    <s v="417268341"/>
  </r>
  <r>
    <s v="E2C1124453"/>
    <d v="2017-03-07T00:00:00"/>
    <s v="22C0316379"/>
    <x v="81"/>
    <x v="0"/>
    <x v="3"/>
    <n v="5884"/>
    <n v="0"/>
    <n v="0"/>
    <n v="5884"/>
    <n v="0"/>
    <n v="0"/>
    <n v="0"/>
    <n v="0"/>
    <n v="54"/>
    <s v="46 To 60 Days"/>
    <d v="2017-04-30T00:00:00"/>
    <s v="AI"/>
    <m/>
    <m/>
    <m/>
    <s v="EDI - Sent"/>
    <d v="2017-03-07T00:00:00"/>
    <s v="EDI successfully sent"/>
    <s v="419165638"/>
  </r>
  <r>
    <s v="E2C1129862"/>
    <d v="2017-03-22T00:00:00"/>
    <s v="22C0309202"/>
    <x v="61"/>
    <x v="0"/>
    <x v="2"/>
    <n v="5891"/>
    <n v="0"/>
    <n v="5891"/>
    <n v="0"/>
    <n v="0"/>
    <n v="0"/>
    <n v="0"/>
    <n v="0"/>
    <n v="39"/>
    <s v="31 TO 45 Days"/>
    <d v="2017-04-30T00:00:00"/>
    <s v="AI"/>
    <m/>
    <m/>
    <m/>
    <m/>
    <m/>
    <m/>
    <s v="4912839323"/>
  </r>
  <r>
    <s v="E2C1104495"/>
    <d v="2017-01-09T00:00:00"/>
    <s v="22C0310098"/>
    <x v="7"/>
    <x v="0"/>
    <x v="4"/>
    <n v="5898"/>
    <n v="0"/>
    <n v="0"/>
    <n v="0"/>
    <n v="0"/>
    <n v="5898"/>
    <n v="0"/>
    <n v="5898"/>
    <n v="111"/>
    <s v="91 To 120 Days"/>
    <d v="2017-04-30T00:00:00"/>
    <s v="AI"/>
    <m/>
    <m/>
    <m/>
    <s v="EDI - Sent"/>
    <m/>
    <m/>
    <s v="4711220956"/>
  </r>
  <r>
    <s v="E2C1107373"/>
    <d v="2017-01-18T00:00:00"/>
    <s v="22C0311251"/>
    <x v="54"/>
    <x v="0"/>
    <x v="2"/>
    <n v="5915"/>
    <n v="0"/>
    <n v="0"/>
    <n v="0"/>
    <n v="0"/>
    <n v="5915"/>
    <n v="0"/>
    <n v="5915"/>
    <n v="102"/>
    <s v="91 To 120 Days"/>
    <d v="2017-04-30T00:00:00"/>
    <s v="AI"/>
    <m/>
    <m/>
    <m/>
    <m/>
    <m/>
    <m/>
    <s v="4560216438"/>
  </r>
  <r>
    <s v="E2C1135300"/>
    <d v="2017-04-03T00:00:00"/>
    <s v="22C0320293"/>
    <x v="1"/>
    <x v="0"/>
    <x v="1"/>
    <n v="5933"/>
    <n v="5933"/>
    <n v="0"/>
    <n v="0"/>
    <n v="0"/>
    <n v="0"/>
    <n v="0"/>
    <n v="0"/>
    <n v="27"/>
    <s v="30 Days"/>
    <d v="2017-04-30T00:00:00"/>
    <s v="AI"/>
    <m/>
    <m/>
    <m/>
    <m/>
    <m/>
    <m/>
    <s v="4540131573"/>
  </r>
  <r>
    <s v="E2C1135302"/>
    <d v="2017-04-03T00:00:00"/>
    <s v="22C0320294"/>
    <x v="1"/>
    <x v="0"/>
    <x v="1"/>
    <n v="5933"/>
    <n v="5933"/>
    <n v="0"/>
    <n v="0"/>
    <n v="0"/>
    <n v="0"/>
    <n v="0"/>
    <n v="0"/>
    <n v="27"/>
    <s v="30 Days"/>
    <d v="2017-04-30T00:00:00"/>
    <s v="AI"/>
    <m/>
    <m/>
    <m/>
    <m/>
    <m/>
    <m/>
    <s v="4540131574"/>
  </r>
  <r>
    <s v="E2C1123732"/>
    <d v="2017-03-04T00:00:00"/>
    <s v="22C0316252"/>
    <x v="7"/>
    <x v="0"/>
    <x v="4"/>
    <n v="5960"/>
    <n v="0"/>
    <n v="0"/>
    <n v="5960"/>
    <n v="0"/>
    <n v="0"/>
    <n v="0"/>
    <n v="0"/>
    <n v="57"/>
    <s v="46 To 60 Days"/>
    <d v="2017-04-30T00:00:00"/>
    <s v="AI"/>
    <m/>
    <m/>
    <m/>
    <s v="EDI - Sent"/>
    <d v="2017-03-06T00:00:00"/>
    <s v="EDI successfully sent"/>
    <s v="4750387466"/>
  </r>
  <r>
    <s v="E2C1131028"/>
    <d v="2017-03-24T00:00:00"/>
    <s v="22C0318411"/>
    <x v="10"/>
    <x v="0"/>
    <x v="5"/>
    <n v="5970"/>
    <n v="0"/>
    <n v="5970"/>
    <n v="0"/>
    <n v="0"/>
    <n v="0"/>
    <n v="0"/>
    <n v="0"/>
    <n v="37"/>
    <s v="31 TO 45 Days"/>
    <d v="2017-04-30T00:00:00"/>
    <s v="AI"/>
    <m/>
    <m/>
    <m/>
    <m/>
    <m/>
    <m/>
    <s v="4912899169"/>
  </r>
  <r>
    <s v="E2C1104492"/>
    <d v="2017-01-09T00:00:00"/>
    <s v="22C0310096"/>
    <x v="7"/>
    <x v="0"/>
    <x v="4"/>
    <n v="5985"/>
    <n v="0"/>
    <n v="0"/>
    <n v="0"/>
    <n v="0"/>
    <n v="5985"/>
    <n v="0"/>
    <n v="5985"/>
    <n v="111"/>
    <s v="91 To 120 Days"/>
    <d v="2017-04-30T00:00:00"/>
    <s v="AI"/>
    <m/>
    <m/>
    <m/>
    <s v="EDI - Sent"/>
    <m/>
    <m/>
    <s v="4711220952"/>
  </r>
  <r>
    <s v="E2C1107383"/>
    <d v="2017-01-18T00:00:00"/>
    <s v="22C0311009"/>
    <x v="54"/>
    <x v="0"/>
    <x v="2"/>
    <n v="5989"/>
    <n v="0"/>
    <n v="0"/>
    <n v="0"/>
    <n v="0"/>
    <n v="5989"/>
    <n v="0"/>
    <n v="5989"/>
    <n v="102"/>
    <s v="91 To 120 Days"/>
    <d v="2017-04-30T00:00:00"/>
    <s v="AI"/>
    <m/>
    <m/>
    <m/>
    <m/>
    <m/>
    <m/>
    <s v="4570267338"/>
  </r>
  <r>
    <s v="E2C1133230"/>
    <d v="2017-03-30T00:00:00"/>
    <s v="22C0319035"/>
    <x v="60"/>
    <x v="0"/>
    <x v="22"/>
    <n v="5997"/>
    <n v="0"/>
    <n v="5997"/>
    <n v="0"/>
    <n v="0"/>
    <n v="0"/>
    <n v="0"/>
    <n v="0"/>
    <n v="31"/>
    <s v="31 TO 45 Days"/>
    <d v="2017-04-30T00:00:00"/>
    <s v="AI"/>
    <m/>
    <m/>
    <m/>
    <m/>
    <m/>
    <m/>
    <s v="4250155864"/>
  </r>
  <r>
    <s v="E2C1120791"/>
    <d v="2017-02-25T00:00:00"/>
    <s v="22C0314817"/>
    <x v="7"/>
    <x v="0"/>
    <x v="4"/>
    <n v="6002"/>
    <n v="0"/>
    <n v="0"/>
    <n v="0"/>
    <n v="6002"/>
    <n v="0"/>
    <n v="0"/>
    <n v="6002"/>
    <n v="64"/>
    <s v="61 To 90 Days"/>
    <d v="2017-04-30T00:00:00"/>
    <s v="AI"/>
    <m/>
    <m/>
    <m/>
    <s v="EDI - Sent"/>
    <d v="2017-03-02T00:00:00"/>
    <s v="EDI successfully sent"/>
    <s v="4750386647"/>
  </r>
  <r>
    <s v="E2C1098617"/>
    <d v="2016-12-24T00:00:00"/>
    <s v="22C0308297"/>
    <x v="7"/>
    <x v="0"/>
    <x v="4"/>
    <n v="6003"/>
    <n v="0"/>
    <n v="0"/>
    <n v="0"/>
    <n v="0"/>
    <n v="0"/>
    <n v="6003"/>
    <n v="6003"/>
    <n v="127"/>
    <s v="Plus120Days"/>
    <d v="2017-04-30T00:00:00"/>
    <s v="AI"/>
    <m/>
    <m/>
    <m/>
    <s v="EDI - Sent"/>
    <m/>
    <m/>
    <s v="4750382973"/>
  </r>
  <r>
    <s v="E2C1137692"/>
    <d v="2017-04-10T00:00:00"/>
    <s v="22C0320457"/>
    <x v="10"/>
    <x v="0"/>
    <x v="5"/>
    <n v="6006"/>
    <n v="6006"/>
    <n v="0"/>
    <n v="0"/>
    <n v="0"/>
    <n v="0"/>
    <n v="0"/>
    <n v="0"/>
    <n v="20"/>
    <s v="30 Days"/>
    <d v="2017-04-30T00:00:00"/>
    <s v="AI"/>
    <m/>
    <m/>
    <m/>
    <m/>
    <m/>
    <m/>
    <s v="4912912688"/>
  </r>
  <r>
    <s v="E2C1122474"/>
    <d v="2017-02-28T00:00:00"/>
    <s v="22C0314937"/>
    <x v="36"/>
    <x v="0"/>
    <x v="2"/>
    <n v="6008"/>
    <n v="0"/>
    <n v="0"/>
    <n v="0"/>
    <n v="6008"/>
    <n v="0"/>
    <n v="0"/>
    <n v="6008"/>
    <n v="61"/>
    <s v="61 To 90 Days"/>
    <d v="2017-04-30T00:00:00"/>
    <s v="AI"/>
    <m/>
    <m/>
    <m/>
    <m/>
    <m/>
    <m/>
    <s v="4570268823"/>
  </r>
  <r>
    <s v="E2C1100607"/>
    <d v="2016-12-29T00:00:00"/>
    <s v="22C0309051"/>
    <x v="7"/>
    <x v="0"/>
    <x v="4"/>
    <n v="6009"/>
    <n v="0"/>
    <n v="0"/>
    <n v="0"/>
    <n v="0"/>
    <n v="0"/>
    <n v="6009"/>
    <n v="6009"/>
    <n v="122"/>
    <s v="Plus120Days"/>
    <d v="2017-04-30T00:00:00"/>
    <s v="AI"/>
    <m/>
    <m/>
    <m/>
    <s v="EDI - Sent"/>
    <m/>
    <m/>
    <s v="4750383169"/>
  </r>
  <r>
    <s v="E2C1120843"/>
    <d v="2017-02-25T00:00:00"/>
    <s v="22C0315182"/>
    <x v="61"/>
    <x v="0"/>
    <x v="2"/>
    <n v="6010"/>
    <n v="0"/>
    <n v="0"/>
    <n v="0"/>
    <n v="6010"/>
    <n v="0"/>
    <n v="0"/>
    <n v="6010"/>
    <n v="64"/>
    <s v="61 To 90 Days"/>
    <d v="2017-04-30T00:00:00"/>
    <s v="AI"/>
    <m/>
    <m/>
    <m/>
    <m/>
    <m/>
    <m/>
    <s v="4711231168"/>
  </r>
  <r>
    <s v="E2C1117848"/>
    <d v="2017-02-16T00:00:00"/>
    <s v="22C0314439"/>
    <x v="54"/>
    <x v="0"/>
    <x v="2"/>
    <n v="6048"/>
    <n v="0"/>
    <n v="0"/>
    <n v="0"/>
    <n v="6048"/>
    <n v="0"/>
    <n v="0"/>
    <n v="6048"/>
    <n v="73"/>
    <s v="61 To 90 Days"/>
    <d v="2017-04-30T00:00:00"/>
    <s v="AI"/>
    <m/>
    <m/>
    <m/>
    <m/>
    <m/>
    <m/>
    <s v="4560217437"/>
  </r>
  <r>
    <s v="E2C1126707"/>
    <d v="2017-03-15T00:00:00"/>
    <s v="22C0316577"/>
    <x v="84"/>
    <x v="0"/>
    <x v="2"/>
    <n v="6051"/>
    <n v="0"/>
    <n v="0"/>
    <n v="6051"/>
    <n v="0"/>
    <n v="0"/>
    <n v="0"/>
    <n v="0"/>
    <n v="46"/>
    <s v="46 To 60 Days"/>
    <d v="2017-04-30T00:00:00"/>
    <s v="AI"/>
    <m/>
    <m/>
    <m/>
    <m/>
    <m/>
    <m/>
    <s v="4812067025"/>
  </r>
  <r>
    <s v="E2C1120723"/>
    <d v="2017-02-25T00:00:00"/>
    <s v="22C0315375"/>
    <x v="7"/>
    <x v="0"/>
    <x v="4"/>
    <n v="6075"/>
    <n v="0"/>
    <n v="0"/>
    <n v="0"/>
    <n v="6075"/>
    <n v="0"/>
    <n v="0"/>
    <n v="6075"/>
    <n v="64"/>
    <s v="61 To 90 Days"/>
    <d v="2017-04-30T00:00:00"/>
    <s v="AI"/>
    <m/>
    <m/>
    <m/>
    <s v="EDI - Sent"/>
    <d v="2017-03-02T00:00:00"/>
    <s v="EDI successfully sent"/>
    <s v="4912879779"/>
  </r>
  <r>
    <s v="E2C1133626"/>
    <d v="2017-03-30T00:00:00"/>
    <s v="22C0319263"/>
    <x v="10"/>
    <x v="0"/>
    <x v="5"/>
    <n v="6079"/>
    <n v="0"/>
    <n v="6079"/>
    <n v="0"/>
    <n v="0"/>
    <n v="0"/>
    <n v="0"/>
    <n v="0"/>
    <n v="31"/>
    <s v="31 TO 45 Days"/>
    <d v="2017-04-30T00:00:00"/>
    <s v="AI"/>
    <m/>
    <m/>
    <m/>
    <m/>
    <m/>
    <m/>
    <s v="4912904378"/>
  </r>
  <r>
    <s v="E2C1101093"/>
    <d v="2016-12-30T00:00:00"/>
    <s v="22C0309052"/>
    <x v="7"/>
    <x v="0"/>
    <x v="4"/>
    <n v="6108"/>
    <n v="0"/>
    <n v="0"/>
    <n v="0"/>
    <n v="0"/>
    <n v="0"/>
    <n v="6108"/>
    <n v="6108"/>
    <n v="121"/>
    <s v="Plus120Days"/>
    <d v="2017-04-30T00:00:00"/>
    <s v="AI"/>
    <m/>
    <m/>
    <m/>
    <s v="EDI - Sent"/>
    <m/>
    <m/>
    <s v="4750383223"/>
  </r>
  <r>
    <s v="E2C1139725"/>
    <d v="2017-04-15T00:00:00"/>
    <s v="22C0321613"/>
    <x v="85"/>
    <x v="0"/>
    <x v="2"/>
    <n v="6115"/>
    <n v="6115"/>
    <n v="0"/>
    <n v="0"/>
    <n v="0"/>
    <n v="0"/>
    <n v="0"/>
    <n v="0"/>
    <n v="15"/>
    <s v="30 Days"/>
    <d v="2017-04-30T00:00:00"/>
    <s v="AI"/>
    <m/>
    <m/>
    <m/>
    <m/>
    <m/>
    <m/>
    <s v="4340042518"/>
  </r>
  <r>
    <s v="E2C1120079"/>
    <d v="2017-02-23T00:00:00"/>
    <s v="22C0314556"/>
    <x v="7"/>
    <x v="0"/>
    <x v="4"/>
    <n v="6126"/>
    <n v="0"/>
    <n v="0"/>
    <n v="0"/>
    <n v="6126"/>
    <n v="0"/>
    <n v="0"/>
    <n v="6126"/>
    <n v="66"/>
    <s v="61 To 90 Days"/>
    <d v="2017-04-30T00:00:00"/>
    <s v="AI"/>
    <m/>
    <m/>
    <m/>
    <s v="EDI - Sent"/>
    <d v="2017-03-02T00:00:00"/>
    <s v="EDI successfully sent"/>
    <s v="4750386532"/>
  </r>
  <r>
    <s v="E2C1107875"/>
    <d v="2017-01-19T00:00:00"/>
    <s v="22C0311427"/>
    <x v="54"/>
    <x v="0"/>
    <x v="2"/>
    <n v="6134"/>
    <n v="0"/>
    <n v="0"/>
    <n v="0"/>
    <n v="0"/>
    <n v="6134"/>
    <n v="0"/>
    <n v="6134"/>
    <n v="101"/>
    <s v="91 To 120 Days"/>
    <d v="2017-04-30T00:00:00"/>
    <s v="AI"/>
    <m/>
    <m/>
    <m/>
    <m/>
    <m/>
    <m/>
    <s v="4400186894"/>
  </r>
  <r>
    <s v="E2C1137694"/>
    <d v="2017-04-10T00:00:00"/>
    <s v="22C0320269"/>
    <x v="61"/>
    <x v="0"/>
    <x v="2"/>
    <n v="6139"/>
    <n v="6139"/>
    <n v="0"/>
    <n v="0"/>
    <n v="0"/>
    <n v="0"/>
    <n v="0"/>
    <n v="0"/>
    <n v="20"/>
    <s v="30 Days"/>
    <d v="2017-04-30T00:00:00"/>
    <s v="AI"/>
    <m/>
    <m/>
    <m/>
    <m/>
    <m/>
    <m/>
    <s v="4711241112"/>
  </r>
  <r>
    <s v="E2C1104865"/>
    <d v="2017-01-10T00:00:00"/>
    <s v="22C0309956"/>
    <x v="7"/>
    <x v="0"/>
    <x v="4"/>
    <n v="6150"/>
    <n v="0"/>
    <n v="0"/>
    <n v="0"/>
    <n v="0"/>
    <n v="6150"/>
    <n v="0"/>
    <n v="6150"/>
    <n v="110"/>
    <s v="91 To 120 Days"/>
    <d v="2017-04-30T00:00:00"/>
    <s v="AI"/>
    <m/>
    <m/>
    <m/>
    <s v="EDI - Sent"/>
    <m/>
    <m/>
    <s v="4912845003"/>
  </r>
  <r>
    <s v="E2C1099806"/>
    <d v="2016-12-28T00:00:00"/>
    <s v="22C0309009"/>
    <x v="7"/>
    <x v="0"/>
    <x v="4"/>
    <n v="6154"/>
    <n v="0"/>
    <n v="0"/>
    <n v="0"/>
    <n v="0"/>
    <n v="0"/>
    <n v="6154"/>
    <n v="6154"/>
    <n v="123"/>
    <s v="Plus120Days"/>
    <d v="2017-04-30T00:00:00"/>
    <s v="AI"/>
    <m/>
    <m/>
    <m/>
    <s v="EDI - Sent"/>
    <m/>
    <m/>
    <s v="4912844171"/>
  </r>
  <r>
    <s v="E2C1134290"/>
    <d v="2017-03-31T00:00:00"/>
    <s v="22C0319850"/>
    <x v="7"/>
    <x v="0"/>
    <x v="4"/>
    <n v="6154"/>
    <n v="6154"/>
    <n v="0"/>
    <n v="0"/>
    <n v="0"/>
    <n v="0"/>
    <n v="0"/>
    <n v="0"/>
    <n v="30"/>
    <s v="30 Days"/>
    <d v="2017-04-30T00:00:00"/>
    <s v="AI"/>
    <m/>
    <m/>
    <m/>
    <s v="EDI - Sent"/>
    <d v="2017-03-31T00:00:00"/>
    <s v="EDI successfully sent"/>
    <s v="4912905507"/>
  </r>
  <r>
    <s v="E2C1106441"/>
    <d v="2017-01-13T00:00:00"/>
    <s v="22C0310817"/>
    <x v="7"/>
    <x v="0"/>
    <x v="4"/>
    <n v="6157"/>
    <n v="0"/>
    <n v="0"/>
    <n v="0"/>
    <n v="0"/>
    <n v="6157"/>
    <n v="0"/>
    <n v="6157"/>
    <n v="107"/>
    <s v="91 To 120 Days"/>
    <d v="2017-04-30T00:00:00"/>
    <s v="AI"/>
    <m/>
    <m/>
    <m/>
    <s v="EDI - Sent"/>
    <m/>
    <m/>
    <s v="4912855819"/>
  </r>
  <r>
    <s v="E2C1107047"/>
    <d v="2017-01-17T00:00:00"/>
    <s v="22C0310906"/>
    <x v="81"/>
    <x v="0"/>
    <x v="3"/>
    <n v="6164"/>
    <n v="0"/>
    <n v="0"/>
    <n v="0"/>
    <n v="0"/>
    <n v="6164"/>
    <n v="0"/>
    <n v="6164"/>
    <n v="103"/>
    <s v="91 To 120 Days"/>
    <d v="2017-04-30T00:00:00"/>
    <s v="AI"/>
    <m/>
    <m/>
    <m/>
    <s v="EDI - Sent"/>
    <m/>
    <m/>
    <s v="419164728"/>
  </r>
  <r>
    <s v="E2C1135309"/>
    <d v="2017-04-03T00:00:00"/>
    <s v="22C0319938"/>
    <x v="27"/>
    <x v="0"/>
    <x v="1"/>
    <n v="6208"/>
    <n v="6208"/>
    <n v="0"/>
    <n v="0"/>
    <n v="0"/>
    <n v="0"/>
    <n v="0"/>
    <n v="0"/>
    <n v="27"/>
    <s v="30 Days"/>
    <d v="2017-04-30T00:00:00"/>
    <s v="AI"/>
    <m/>
    <m/>
    <m/>
    <m/>
    <m/>
    <m/>
    <s v="4400190199"/>
  </r>
  <r>
    <s v="E2C1134837"/>
    <d v="2017-04-01T00:00:00"/>
    <s v="22C0319635"/>
    <x v="27"/>
    <x v="0"/>
    <x v="1"/>
    <n v="6216"/>
    <n v="6216"/>
    <n v="0"/>
    <n v="0"/>
    <n v="0"/>
    <n v="0"/>
    <n v="0"/>
    <n v="0"/>
    <n v="29"/>
    <s v="30 Days"/>
    <d v="2017-04-30T00:00:00"/>
    <s v="AI"/>
    <m/>
    <m/>
    <m/>
    <m/>
    <m/>
    <m/>
    <s v="4400190060"/>
  </r>
  <r>
    <s v="E2C1106935"/>
    <d v="2017-01-16T00:00:00"/>
    <s v="22C0307635"/>
    <x v="86"/>
    <x v="0"/>
    <x v="16"/>
    <n v="6216"/>
    <n v="0"/>
    <n v="0"/>
    <n v="0"/>
    <n v="0"/>
    <n v="6216"/>
    <n v="0"/>
    <n v="6216"/>
    <n v="104"/>
    <s v="91 To 120 Days"/>
    <d v="2017-04-30T00:00:00"/>
    <s v="AI"/>
    <m/>
    <m/>
    <m/>
    <m/>
    <m/>
    <m/>
    <s v="4912837141"/>
  </r>
  <r>
    <s v="E2C1071526"/>
    <d v="2016-10-06T00:00:00"/>
    <s v="22C0299878"/>
    <x v="7"/>
    <x v="0"/>
    <x v="4"/>
    <n v="6220"/>
    <n v="0"/>
    <n v="0"/>
    <n v="0"/>
    <n v="0"/>
    <n v="0"/>
    <n v="6220"/>
    <n v="6220"/>
    <n v="206"/>
    <s v="Plus120Days"/>
    <d v="2017-04-30T00:00:00"/>
    <s v="AI"/>
    <m/>
    <m/>
    <m/>
    <s v="EDI - Sent"/>
    <m/>
    <m/>
    <s v="4750377622"/>
  </r>
  <r>
    <s v="E2C1133607"/>
    <d v="2017-03-30T00:00:00"/>
    <s v="22C0319580"/>
    <x v="10"/>
    <x v="0"/>
    <x v="5"/>
    <n v="6227"/>
    <n v="0"/>
    <n v="6227"/>
    <n v="0"/>
    <n v="0"/>
    <n v="0"/>
    <n v="0"/>
    <n v="0"/>
    <n v="31"/>
    <s v="31 TO 45 Days"/>
    <d v="2017-04-30T00:00:00"/>
    <s v="AI"/>
    <m/>
    <m/>
    <m/>
    <m/>
    <m/>
    <m/>
    <s v="4912905573"/>
  </r>
  <r>
    <s v="E2C1129993"/>
    <d v="2017-03-22T00:00:00"/>
    <s v="22C0317897"/>
    <x v="27"/>
    <x v="0"/>
    <x v="1"/>
    <n v="6245"/>
    <n v="0"/>
    <n v="6245"/>
    <n v="0"/>
    <n v="0"/>
    <n v="0"/>
    <n v="0"/>
    <n v="0"/>
    <n v="39"/>
    <s v="31 TO 45 Days"/>
    <d v="2017-04-30T00:00:00"/>
    <s v="AI"/>
    <m/>
    <m/>
    <m/>
    <m/>
    <m/>
    <m/>
    <s v="4400189516"/>
  </r>
  <r>
    <s v="E2C1129998"/>
    <d v="2017-03-22T00:00:00"/>
    <s v="22C0317898"/>
    <x v="27"/>
    <x v="0"/>
    <x v="1"/>
    <n v="6245"/>
    <n v="0"/>
    <n v="6245"/>
    <n v="0"/>
    <n v="0"/>
    <n v="0"/>
    <n v="0"/>
    <n v="0"/>
    <n v="39"/>
    <s v="31 TO 45 Days"/>
    <d v="2017-04-30T00:00:00"/>
    <s v="AI"/>
    <m/>
    <m/>
    <m/>
    <m/>
    <m/>
    <m/>
    <s v="4400189573"/>
  </r>
  <r>
    <s v="E2C1131717"/>
    <d v="2017-03-27T00:00:00"/>
    <s v="22C0318640"/>
    <x v="27"/>
    <x v="0"/>
    <x v="1"/>
    <n v="6245"/>
    <n v="0"/>
    <n v="6245"/>
    <n v="0"/>
    <n v="0"/>
    <n v="0"/>
    <n v="0"/>
    <n v="0"/>
    <n v="34"/>
    <s v="31 TO 45 Days"/>
    <d v="2017-04-30T00:00:00"/>
    <s v="AI"/>
    <m/>
    <m/>
    <m/>
    <m/>
    <m/>
    <m/>
    <s v="4400189783"/>
  </r>
  <r>
    <s v="E2C1113520"/>
    <d v="2017-02-02T00:00:00"/>
    <s v="22C0312932"/>
    <x v="69"/>
    <x v="0"/>
    <x v="2"/>
    <n v="6259"/>
    <n v="0"/>
    <n v="0"/>
    <n v="0"/>
    <n v="6259"/>
    <n v="0"/>
    <n v="0"/>
    <n v="6259"/>
    <n v="87"/>
    <s v="61 To 90 Days"/>
    <d v="2017-04-30T00:00:00"/>
    <s v="AI"/>
    <m/>
    <m/>
    <m/>
    <m/>
    <m/>
    <m/>
    <s v="418546492"/>
  </r>
  <r>
    <s v="E2C1117093"/>
    <d v="2017-02-14T00:00:00"/>
    <s v="22C0313998"/>
    <x v="24"/>
    <x v="0"/>
    <x v="16"/>
    <n v="6260"/>
    <n v="0"/>
    <n v="0"/>
    <n v="0"/>
    <n v="6260"/>
    <n v="0"/>
    <n v="0"/>
    <n v="6260"/>
    <n v="75"/>
    <s v="61 To 90 Days"/>
    <d v="2017-04-30T00:00:00"/>
    <s v="AI"/>
    <m/>
    <m/>
    <m/>
    <m/>
    <m/>
    <m/>
    <s v="4812070539"/>
  </r>
  <r>
    <s v="E2C1133593"/>
    <d v="2017-03-30T00:00:00"/>
    <s v="22C0319257"/>
    <x v="10"/>
    <x v="0"/>
    <x v="5"/>
    <n v="6269"/>
    <n v="0"/>
    <n v="6269"/>
    <n v="0"/>
    <n v="0"/>
    <n v="0"/>
    <n v="0"/>
    <n v="0"/>
    <n v="31"/>
    <s v="31 TO 45 Days"/>
    <d v="2017-04-30T00:00:00"/>
    <s v="AI"/>
    <m/>
    <m/>
    <m/>
    <m/>
    <m/>
    <m/>
    <s v="4912903753"/>
  </r>
  <r>
    <s v="E2C1120796"/>
    <d v="2017-02-25T00:00:00"/>
    <s v="22C0314819"/>
    <x v="7"/>
    <x v="0"/>
    <x v="4"/>
    <n v="6299"/>
    <n v="0"/>
    <n v="0"/>
    <n v="0"/>
    <n v="6299"/>
    <n v="0"/>
    <n v="0"/>
    <n v="6299"/>
    <n v="64"/>
    <s v="61 To 90 Days"/>
    <d v="2017-04-30T00:00:00"/>
    <s v="AI"/>
    <m/>
    <m/>
    <m/>
    <s v="EDI - Sent"/>
    <d v="2017-03-02T00:00:00"/>
    <s v="EDI successfully sent"/>
    <s v="4750386680"/>
  </r>
  <r>
    <s v="E2C1118650"/>
    <d v="2017-02-18T00:00:00"/>
    <s v="22C0313776"/>
    <x v="1"/>
    <x v="0"/>
    <x v="1"/>
    <n v="6315"/>
    <n v="0"/>
    <n v="0"/>
    <n v="0"/>
    <n v="6315"/>
    <n v="0"/>
    <n v="0"/>
    <n v="6315"/>
    <n v="71"/>
    <s v="61 To 90 Days"/>
    <d v="2017-04-30T00:00:00"/>
    <s v="AI"/>
    <m/>
    <m/>
    <m/>
    <m/>
    <m/>
    <m/>
    <s v="4540130158"/>
  </r>
  <r>
    <s v="E2C1137702"/>
    <d v="2017-04-10T00:00:00"/>
    <s v="22C0320006"/>
    <x v="61"/>
    <x v="0"/>
    <x v="2"/>
    <n v="6324"/>
    <n v="6324"/>
    <n v="0"/>
    <n v="0"/>
    <n v="0"/>
    <n v="0"/>
    <n v="0"/>
    <n v="0"/>
    <n v="20"/>
    <s v="30 Days"/>
    <d v="2017-04-30T00:00:00"/>
    <s v="AI"/>
    <m/>
    <m/>
    <m/>
    <m/>
    <m/>
    <m/>
    <s v="4711240442"/>
  </r>
  <r>
    <s v="E2C1125399"/>
    <d v="2017-03-09T00:00:00"/>
    <s v="22C0316706"/>
    <x v="87"/>
    <x v="0"/>
    <x v="2"/>
    <n v="6343"/>
    <n v="0"/>
    <n v="0"/>
    <n v="6343"/>
    <n v="0"/>
    <n v="0"/>
    <n v="0"/>
    <n v="0"/>
    <n v="52"/>
    <s v="46 To 60 Days"/>
    <d v="2017-04-30T00:00:00"/>
    <s v="AI"/>
    <m/>
    <m/>
    <m/>
    <m/>
    <m/>
    <m/>
    <s v="4560217949"/>
  </r>
  <r>
    <s v="E2C1128919"/>
    <d v="2017-03-20T00:00:00"/>
    <s v="22C0317522"/>
    <x v="54"/>
    <x v="0"/>
    <x v="2"/>
    <n v="6347"/>
    <n v="0"/>
    <n v="6347"/>
    <n v="0"/>
    <n v="0"/>
    <n v="0"/>
    <n v="0"/>
    <n v="0"/>
    <n v="41"/>
    <s v="31 TO 45 Days"/>
    <d v="2017-04-30T00:00:00"/>
    <s v="AI"/>
    <m/>
    <m/>
    <m/>
    <m/>
    <m/>
    <m/>
    <s v="4570270036"/>
  </r>
  <r>
    <s v="E2C1115599"/>
    <d v="2017-02-09T00:00:00"/>
    <s v="22C0313481"/>
    <x v="63"/>
    <x v="0"/>
    <x v="7"/>
    <n v="6369"/>
    <n v="0"/>
    <n v="0"/>
    <n v="0"/>
    <n v="6369"/>
    <n v="0"/>
    <n v="0"/>
    <n v="6369"/>
    <n v="80"/>
    <s v="61 To 90 Days"/>
    <d v="2017-04-30T00:00:00"/>
    <s v="AI"/>
    <m/>
    <m/>
    <m/>
    <m/>
    <m/>
    <m/>
    <s v="418439286"/>
  </r>
  <r>
    <s v="E2C1136453"/>
    <d v="2017-04-06T00:00:00"/>
    <s v="22C0320729"/>
    <x v="88"/>
    <x v="0"/>
    <x v="2"/>
    <n v="6371"/>
    <n v="6371"/>
    <n v="0"/>
    <n v="0"/>
    <n v="0"/>
    <n v="0"/>
    <n v="0"/>
    <n v="0"/>
    <n v="24"/>
    <s v="30 Days"/>
    <d v="2017-04-30T00:00:00"/>
    <s v="AI"/>
    <m/>
    <m/>
    <m/>
    <m/>
    <m/>
    <m/>
    <s v="417470466"/>
  </r>
  <r>
    <s v="E2C1138602"/>
    <d v="2017-04-12T00:00:00"/>
    <s v="22C0320709"/>
    <x v="89"/>
    <x v="0"/>
    <x v="2"/>
    <n v="6371"/>
    <n v="6371"/>
    <n v="0"/>
    <n v="0"/>
    <n v="0"/>
    <n v="0"/>
    <n v="0"/>
    <n v="0"/>
    <n v="18"/>
    <s v="30 Days"/>
    <d v="2017-04-30T00:00:00"/>
    <s v="AI"/>
    <m/>
    <m/>
    <m/>
    <m/>
    <m/>
    <m/>
    <s v="4052211031"/>
  </r>
  <r>
    <s v="E2C1128861"/>
    <d v="2017-03-20T00:00:00"/>
    <s v="22C0318089"/>
    <x v="90"/>
    <x v="0"/>
    <x v="2"/>
    <n v="6371"/>
    <n v="0"/>
    <n v="6371"/>
    <n v="0"/>
    <n v="0"/>
    <n v="0"/>
    <n v="0"/>
    <n v="0"/>
    <n v="41"/>
    <s v="31 TO 45 Days"/>
    <d v="2017-04-30T00:00:00"/>
    <s v="AI"/>
    <m/>
    <m/>
    <m/>
    <m/>
    <m/>
    <m/>
    <s v="42J0203507"/>
  </r>
  <r>
    <s v="E2C1134559"/>
    <d v="2017-03-31T00:00:00"/>
    <s v="22C0319398"/>
    <x v="90"/>
    <x v="0"/>
    <x v="2"/>
    <n v="6371"/>
    <n v="6371"/>
    <n v="0"/>
    <n v="0"/>
    <n v="0"/>
    <n v="0"/>
    <n v="0"/>
    <n v="0"/>
    <n v="30"/>
    <s v="30 Days"/>
    <d v="2017-04-30T00:00:00"/>
    <s v="AI"/>
    <m/>
    <m/>
    <m/>
    <m/>
    <m/>
    <m/>
    <s v="42J0204032"/>
  </r>
  <r>
    <s v="E2C1128840"/>
    <d v="2017-03-20T00:00:00"/>
    <s v="22C0318176"/>
    <x v="91"/>
    <x v="0"/>
    <x v="15"/>
    <n v="6371"/>
    <n v="0"/>
    <n v="6371"/>
    <n v="0"/>
    <n v="0"/>
    <n v="0"/>
    <n v="0"/>
    <n v="0"/>
    <n v="41"/>
    <s v="31 TO 45 Days"/>
    <d v="2017-04-30T00:00:00"/>
    <s v="AI"/>
    <m/>
    <m/>
    <m/>
    <m/>
    <m/>
    <m/>
    <s v="4711232344"/>
  </r>
  <r>
    <s v="E2C1136426"/>
    <d v="2017-04-06T00:00:00"/>
    <s v="22C0320667"/>
    <x v="92"/>
    <x v="0"/>
    <x v="15"/>
    <n v="6371"/>
    <n v="6371"/>
    <n v="0"/>
    <n v="0"/>
    <n v="0"/>
    <n v="0"/>
    <n v="0"/>
    <n v="0"/>
    <n v="24"/>
    <s v="30 Days"/>
    <d v="2017-04-30T00:00:00"/>
    <s v="AI"/>
    <m/>
    <m/>
    <m/>
    <m/>
    <m/>
    <m/>
    <s v="4711232434"/>
  </r>
  <r>
    <s v="E2C1125231"/>
    <d v="2017-03-09T00:00:00"/>
    <s v="22C0316107"/>
    <x v="1"/>
    <x v="0"/>
    <x v="1"/>
    <n v="6379"/>
    <n v="0"/>
    <n v="0"/>
    <n v="6379"/>
    <n v="0"/>
    <n v="0"/>
    <n v="0"/>
    <n v="0"/>
    <n v="52"/>
    <s v="46 To 60 Days"/>
    <d v="2017-04-30T00:00:00"/>
    <s v="AI"/>
    <m/>
    <m/>
    <m/>
    <m/>
    <m/>
    <m/>
    <s v="4540130582"/>
  </r>
  <r>
    <s v="E2C1119415"/>
    <d v="2017-02-21T00:00:00"/>
    <s v="22C0314052"/>
    <x v="93"/>
    <x v="0"/>
    <x v="0"/>
    <n v="6384"/>
    <n v="0"/>
    <n v="0"/>
    <n v="0"/>
    <n v="6384"/>
    <n v="0"/>
    <n v="0"/>
    <n v="6384"/>
    <n v="68"/>
    <s v="61 To 90 Days"/>
    <d v="2017-04-30T00:00:00"/>
    <s v="AI"/>
    <m/>
    <m/>
    <m/>
    <m/>
    <m/>
    <m/>
    <s v="4395845307"/>
  </r>
  <r>
    <s v="E2C1123184"/>
    <d v="2017-03-02T00:00:00"/>
    <s v="22C0316037"/>
    <x v="94"/>
    <x v="0"/>
    <x v="2"/>
    <n v="6389"/>
    <n v="0"/>
    <n v="0"/>
    <n v="6389"/>
    <n v="0"/>
    <n v="0"/>
    <n v="0"/>
    <n v="0"/>
    <n v="59"/>
    <s v="46 To 60 Days"/>
    <d v="2017-04-30T00:00:00"/>
    <s v="AI"/>
    <m/>
    <m/>
    <m/>
    <m/>
    <m/>
    <m/>
    <s v="4711232580"/>
  </r>
  <r>
    <s v="E2C1138918"/>
    <d v="2017-04-12T00:00:00"/>
    <s v="22C0307483"/>
    <x v="95"/>
    <x v="0"/>
    <x v="25"/>
    <n v="6391"/>
    <n v="6391"/>
    <n v="0"/>
    <n v="0"/>
    <n v="0"/>
    <n v="0"/>
    <n v="0"/>
    <n v="0"/>
    <n v="18"/>
    <s v="30 Days"/>
    <d v="2017-04-30T00:00:00"/>
    <s v="AI"/>
    <m/>
    <m/>
    <m/>
    <m/>
    <m/>
    <m/>
    <s v="4750382659"/>
  </r>
  <r>
    <s v="E2C1121156"/>
    <d v="2017-02-27T00:00:00"/>
    <s v="22C0314602"/>
    <x v="1"/>
    <x v="0"/>
    <x v="1"/>
    <n v="6409"/>
    <n v="0"/>
    <n v="0"/>
    <n v="0"/>
    <n v="6409"/>
    <n v="0"/>
    <n v="0"/>
    <n v="6409"/>
    <n v="62"/>
    <s v="61 To 90 Days"/>
    <d v="2017-04-30T00:00:00"/>
    <s v="AI"/>
    <m/>
    <m/>
    <m/>
    <m/>
    <m/>
    <m/>
    <s v="4540130341"/>
  </r>
  <r>
    <s v="E2C1106435"/>
    <d v="2017-01-13T00:00:00"/>
    <s v="22C0310603"/>
    <x v="54"/>
    <x v="0"/>
    <x v="2"/>
    <n v="6414"/>
    <n v="0"/>
    <n v="0"/>
    <n v="0"/>
    <n v="0"/>
    <n v="6414"/>
    <n v="0"/>
    <n v="6414"/>
    <n v="107"/>
    <s v="91 To 120 Days"/>
    <d v="2017-04-30T00:00:00"/>
    <s v="AI"/>
    <m/>
    <m/>
    <m/>
    <m/>
    <m/>
    <m/>
    <s v="4570266925"/>
  </r>
  <r>
    <s v="E2C1109358"/>
    <d v="2017-01-23T00:00:00"/>
    <s v="22C0311918"/>
    <x v="54"/>
    <x v="0"/>
    <x v="2"/>
    <n v="6414"/>
    <n v="0"/>
    <n v="0"/>
    <n v="0"/>
    <n v="0"/>
    <n v="6414"/>
    <n v="0"/>
    <n v="6414"/>
    <n v="97"/>
    <s v="91 To 120 Days"/>
    <d v="2017-04-30T00:00:00"/>
    <s v="AI"/>
    <m/>
    <m/>
    <m/>
    <m/>
    <m/>
    <m/>
    <s v="4570267552"/>
  </r>
  <r>
    <s v="E2C1134712"/>
    <d v="2017-03-31T00:00:00"/>
    <s v="22C0319830"/>
    <x v="81"/>
    <x v="0"/>
    <x v="3"/>
    <n v="6436"/>
    <n v="6436"/>
    <n v="0"/>
    <n v="0"/>
    <n v="0"/>
    <n v="0"/>
    <n v="0"/>
    <n v="0"/>
    <n v="30"/>
    <s v="30 Days"/>
    <d v="2017-04-30T00:00:00"/>
    <s v="AI"/>
    <m/>
    <m/>
    <m/>
    <s v="EDI - Sent"/>
    <d v="2017-03-31T00:00:00"/>
    <s v="EDI successfully sent"/>
    <s v="419166430"/>
  </r>
  <r>
    <s v="E2C1137303"/>
    <d v="2017-04-07T00:00:00"/>
    <s v="22C0320731"/>
    <x v="96"/>
    <x v="0"/>
    <x v="2"/>
    <n v="6441"/>
    <n v="6441"/>
    <n v="0"/>
    <n v="0"/>
    <n v="0"/>
    <n v="0"/>
    <n v="0"/>
    <n v="0"/>
    <n v="23"/>
    <s v="30 Days"/>
    <d v="2017-04-30T00:00:00"/>
    <s v="AI"/>
    <m/>
    <m/>
    <m/>
    <m/>
    <m/>
    <m/>
    <s v="4300212885"/>
  </r>
  <r>
    <s v="E2C1111408"/>
    <d v="2017-01-28T00:00:00"/>
    <s v="22C0312357"/>
    <x v="81"/>
    <x v="0"/>
    <x v="3"/>
    <n v="6443"/>
    <n v="0"/>
    <n v="0"/>
    <n v="0"/>
    <n v="0"/>
    <n v="6443"/>
    <n v="0"/>
    <n v="6443"/>
    <n v="92"/>
    <s v="91 To 120 Days"/>
    <d v="2017-04-30T00:00:00"/>
    <s v="AI"/>
    <m/>
    <m/>
    <m/>
    <s v="EDI - Sent"/>
    <d v="2017-01-30T00:00:00"/>
    <s v="EDI successfully sent"/>
    <s v="419164920"/>
  </r>
  <r>
    <s v="E2C1131476"/>
    <d v="2017-03-25T00:00:00"/>
    <s v="22C0318934"/>
    <x v="1"/>
    <x v="0"/>
    <x v="1"/>
    <n v="6464"/>
    <n v="0"/>
    <n v="6464"/>
    <n v="0"/>
    <n v="0"/>
    <n v="0"/>
    <n v="0"/>
    <n v="0"/>
    <n v="36"/>
    <s v="31 TO 45 Days"/>
    <d v="2017-04-30T00:00:00"/>
    <s v="AI"/>
    <m/>
    <m/>
    <m/>
    <m/>
    <m/>
    <m/>
    <s v="4540131356"/>
  </r>
  <r>
    <s v="E2C1133441"/>
    <d v="2017-03-30T00:00:00"/>
    <s v="22C0318722"/>
    <x v="87"/>
    <x v="0"/>
    <x v="2"/>
    <n v="6467"/>
    <n v="0"/>
    <n v="6467"/>
    <n v="0"/>
    <n v="0"/>
    <n v="0"/>
    <n v="0"/>
    <n v="0"/>
    <n v="31"/>
    <s v="31 TO 45 Days"/>
    <d v="2017-04-30T00:00:00"/>
    <s v="AI"/>
    <m/>
    <m/>
    <m/>
    <m/>
    <m/>
    <m/>
    <s v="4560218520"/>
  </r>
  <r>
    <s v="E2C1132331"/>
    <d v="2017-03-28T00:00:00"/>
    <s v="22C0318937"/>
    <x v="54"/>
    <x v="0"/>
    <x v="2"/>
    <n v="6470"/>
    <n v="0"/>
    <n v="6470"/>
    <n v="0"/>
    <n v="0"/>
    <n v="0"/>
    <n v="0"/>
    <n v="0"/>
    <n v="33"/>
    <s v="31 TO 45 Days"/>
    <d v="2017-04-30T00:00:00"/>
    <s v="AI"/>
    <m/>
    <m/>
    <m/>
    <m/>
    <m/>
    <m/>
    <s v="4850057040"/>
  </r>
  <r>
    <s v="E2C1127700"/>
    <d v="2017-03-16T00:00:00"/>
    <s v="22C0317429"/>
    <x v="58"/>
    <x v="0"/>
    <x v="1"/>
    <n v="6495"/>
    <n v="0"/>
    <n v="6495"/>
    <n v="0"/>
    <n v="0"/>
    <n v="0"/>
    <n v="0"/>
    <n v="0"/>
    <n v="45"/>
    <s v="31 TO 45 Days"/>
    <d v="2017-04-30T00:00:00"/>
    <s v="AI"/>
    <m/>
    <m/>
    <m/>
    <m/>
    <m/>
    <m/>
    <s v="4760147078"/>
  </r>
  <r>
    <s v="E2C1134004"/>
    <d v="2017-03-31T00:00:00"/>
    <s v="22C0319663"/>
    <x v="97"/>
    <x v="0"/>
    <x v="14"/>
    <n v="6505"/>
    <n v="6505"/>
    <n v="0"/>
    <n v="0"/>
    <n v="0"/>
    <n v="0"/>
    <n v="0"/>
    <n v="0"/>
    <n v="30"/>
    <s v="30 Days"/>
    <d v="2017-04-30T00:00:00"/>
    <s v="AI"/>
    <m/>
    <m/>
    <m/>
    <m/>
    <m/>
    <m/>
    <s v="4711238645"/>
  </r>
  <r>
    <s v="E2C1135370"/>
    <d v="2017-04-03T00:00:00"/>
    <s v="22C0320282"/>
    <x v="98"/>
    <x v="0"/>
    <x v="2"/>
    <n v="6509"/>
    <n v="6509"/>
    <n v="0"/>
    <n v="0"/>
    <n v="0"/>
    <n v="0"/>
    <n v="0"/>
    <n v="0"/>
    <n v="27"/>
    <s v="30 Days"/>
    <d v="2017-04-30T00:00:00"/>
    <s v="AI"/>
    <m/>
    <m/>
    <m/>
    <m/>
    <m/>
    <m/>
    <s v="416564532"/>
  </r>
  <r>
    <s v="E2C1128910"/>
    <d v="2017-03-20T00:00:00"/>
    <s v="22C0317488"/>
    <x v="54"/>
    <x v="0"/>
    <x v="2"/>
    <n v="6531"/>
    <n v="0"/>
    <n v="6531"/>
    <n v="0"/>
    <n v="0"/>
    <n v="0"/>
    <n v="0"/>
    <n v="0"/>
    <n v="41"/>
    <s v="31 TO 45 Days"/>
    <d v="2017-04-30T00:00:00"/>
    <s v="AI"/>
    <m/>
    <m/>
    <m/>
    <m/>
    <m/>
    <m/>
    <s v="4560218297"/>
  </r>
  <r>
    <s v="E2C1133610"/>
    <d v="2017-03-30T00:00:00"/>
    <s v="22C0319579"/>
    <x v="10"/>
    <x v="0"/>
    <x v="5"/>
    <n v="6545"/>
    <n v="0"/>
    <n v="6545"/>
    <n v="0"/>
    <n v="0"/>
    <n v="0"/>
    <n v="0"/>
    <n v="0"/>
    <n v="31"/>
    <s v="31 TO 45 Days"/>
    <d v="2017-04-30T00:00:00"/>
    <s v="AI"/>
    <m/>
    <m/>
    <m/>
    <m/>
    <m/>
    <m/>
    <s v="4912905561"/>
  </r>
  <r>
    <s v="E2C1115402"/>
    <d v="2017-02-08T00:00:00"/>
    <s v="22C0313353"/>
    <x v="54"/>
    <x v="0"/>
    <x v="2"/>
    <n v="6561"/>
    <n v="0"/>
    <n v="0"/>
    <n v="0"/>
    <n v="6561"/>
    <n v="0"/>
    <n v="0"/>
    <n v="6561"/>
    <n v="81"/>
    <s v="61 To 90 Days"/>
    <d v="2017-04-30T00:00:00"/>
    <s v="AI"/>
    <m/>
    <m/>
    <m/>
    <m/>
    <m/>
    <m/>
    <s v="4850056119"/>
  </r>
  <r>
    <s v="E2C1137727"/>
    <d v="2017-04-10T00:00:00"/>
    <s v="22C0320460"/>
    <x v="10"/>
    <x v="0"/>
    <x v="5"/>
    <n v="6567"/>
    <n v="6567"/>
    <n v="0"/>
    <n v="0"/>
    <n v="0"/>
    <n v="0"/>
    <n v="0"/>
    <n v="0"/>
    <n v="20"/>
    <s v="30 Days"/>
    <d v="2017-04-30T00:00:00"/>
    <s v="AI"/>
    <m/>
    <m/>
    <m/>
    <m/>
    <m/>
    <m/>
    <s v="4912912718"/>
  </r>
  <r>
    <s v="E2C1120460"/>
    <d v="2017-02-24T00:00:00"/>
    <s v="22C0315287"/>
    <x v="54"/>
    <x v="0"/>
    <x v="2"/>
    <n v="6569"/>
    <n v="0"/>
    <n v="0"/>
    <n v="0"/>
    <n v="6569"/>
    <n v="0"/>
    <n v="0"/>
    <n v="6569"/>
    <n v="65"/>
    <s v="61 To 90 Days"/>
    <d v="2017-04-30T00:00:00"/>
    <s v="AI"/>
    <m/>
    <m/>
    <m/>
    <m/>
    <m/>
    <m/>
    <s v="4570268909"/>
  </r>
  <r>
    <s v="E2C1122435"/>
    <d v="2017-02-28T00:00:00"/>
    <s v="22C0315724"/>
    <x v="54"/>
    <x v="0"/>
    <x v="2"/>
    <n v="6569"/>
    <n v="0"/>
    <n v="0"/>
    <n v="0"/>
    <n v="6569"/>
    <n v="0"/>
    <n v="0"/>
    <n v="6569"/>
    <n v="61"/>
    <s v="61 To 90 Days"/>
    <d v="2017-04-30T00:00:00"/>
    <s v="AI"/>
    <m/>
    <m/>
    <m/>
    <m/>
    <m/>
    <m/>
    <s v="4570269299"/>
  </r>
  <r>
    <s v="E2C1123440"/>
    <d v="2017-03-03T00:00:00"/>
    <s v="22C0316266"/>
    <x v="54"/>
    <x v="0"/>
    <x v="2"/>
    <n v="6569"/>
    <n v="0"/>
    <n v="0"/>
    <n v="6569"/>
    <n v="0"/>
    <n v="0"/>
    <n v="0"/>
    <n v="0"/>
    <n v="58"/>
    <s v="46 To 60 Days"/>
    <d v="2017-04-30T00:00:00"/>
    <s v="AI"/>
    <m/>
    <m/>
    <m/>
    <m/>
    <m/>
    <m/>
    <s v="418546976"/>
  </r>
  <r>
    <s v="E2C1134562"/>
    <d v="2017-03-31T00:00:00"/>
    <s v="22C0319837"/>
    <x v="95"/>
    <x v="0"/>
    <x v="25"/>
    <n v="6575"/>
    <n v="6575"/>
    <n v="0"/>
    <n v="0"/>
    <n v="0"/>
    <n v="0"/>
    <n v="0"/>
    <n v="0"/>
    <n v="30"/>
    <s v="30 Days"/>
    <d v="2017-04-30T00:00:00"/>
    <s v="AI"/>
    <m/>
    <m/>
    <m/>
    <m/>
    <m/>
    <m/>
    <s v="4750389138"/>
  </r>
  <r>
    <s v="E2C1132475"/>
    <d v="2017-03-28T00:00:00"/>
    <s v="22C0318273"/>
    <x v="7"/>
    <x v="0"/>
    <x v="4"/>
    <n v="6578"/>
    <n v="0"/>
    <n v="6578"/>
    <n v="0"/>
    <n v="0"/>
    <n v="0"/>
    <n v="0"/>
    <n v="0"/>
    <n v="33"/>
    <s v="31 TO 45 Days"/>
    <d v="2017-04-30T00:00:00"/>
    <s v="AI"/>
    <m/>
    <m/>
    <m/>
    <s v="EDI - Sent"/>
    <d v="2017-03-28T00:00:00"/>
    <s v="EDI successfully sent"/>
    <s v="4400189705"/>
  </r>
  <r>
    <s v="E2C1119298"/>
    <d v="2017-02-21T00:00:00"/>
    <s v="22C0314878"/>
    <x v="54"/>
    <x v="0"/>
    <x v="2"/>
    <n v="6581"/>
    <n v="0"/>
    <n v="0"/>
    <n v="0"/>
    <n v="6581"/>
    <n v="0"/>
    <n v="0"/>
    <n v="6581"/>
    <n v="68"/>
    <s v="61 To 90 Days"/>
    <d v="2017-04-30T00:00:00"/>
    <s v="AI"/>
    <m/>
    <m/>
    <m/>
    <m/>
    <m/>
    <m/>
    <s v="4400188257"/>
  </r>
  <r>
    <s v="E2C1128483"/>
    <d v="2017-03-18T00:00:00"/>
    <s v="22C0316467"/>
    <x v="69"/>
    <x v="0"/>
    <x v="2"/>
    <n v="6602"/>
    <n v="0"/>
    <n v="6602"/>
    <n v="0"/>
    <n v="0"/>
    <n v="0"/>
    <n v="0"/>
    <n v="0"/>
    <n v="43"/>
    <s v="31 TO 45 Days"/>
    <d v="2017-04-30T00:00:00"/>
    <s v="AI"/>
    <m/>
    <m/>
    <m/>
    <m/>
    <m/>
    <m/>
    <s v="4480468041"/>
  </r>
  <r>
    <s v="E2C1137518"/>
    <d v="2017-04-10T00:00:00"/>
    <s v="22C0321114"/>
    <x v="99"/>
    <x v="0"/>
    <x v="2"/>
    <n v="6608"/>
    <n v="6608"/>
    <n v="0"/>
    <n v="0"/>
    <n v="0"/>
    <n v="0"/>
    <n v="0"/>
    <n v="0"/>
    <n v="20"/>
    <s v="30 Days"/>
    <d v="2017-04-30T00:00:00"/>
    <s v="AI"/>
    <m/>
    <m/>
    <m/>
    <m/>
    <m/>
    <m/>
    <s v="4080254311"/>
  </r>
  <r>
    <s v="E2C1118646"/>
    <d v="2017-02-18T00:00:00"/>
    <s v="22C0314109"/>
    <x v="1"/>
    <x v="0"/>
    <x v="1"/>
    <n v="6636"/>
    <n v="0"/>
    <n v="0"/>
    <n v="0"/>
    <n v="6636"/>
    <n v="0"/>
    <n v="0"/>
    <n v="6636"/>
    <n v="71"/>
    <s v="61 To 90 Days"/>
    <d v="2017-04-30T00:00:00"/>
    <s v="AI"/>
    <m/>
    <m/>
    <m/>
    <m/>
    <m/>
    <m/>
    <s v="4540130268"/>
  </r>
  <r>
    <s v="E2C1120800"/>
    <d v="2017-02-25T00:00:00"/>
    <s v="22C0315156"/>
    <x v="7"/>
    <x v="0"/>
    <x v="4"/>
    <n v="6644"/>
    <n v="0"/>
    <n v="0"/>
    <n v="0"/>
    <n v="6644"/>
    <n v="0"/>
    <n v="0"/>
    <n v="6644"/>
    <n v="64"/>
    <s v="61 To 90 Days"/>
    <d v="2017-04-30T00:00:00"/>
    <s v="AI"/>
    <m/>
    <m/>
    <m/>
    <s v="EDI - Sent"/>
    <d v="2017-03-02T00:00:00"/>
    <s v="EDI successfully sent"/>
    <s v="4750386904"/>
  </r>
  <r>
    <s v="E2C1112475"/>
    <d v="2017-01-31T00:00:00"/>
    <s v="22C0312690"/>
    <x v="54"/>
    <x v="0"/>
    <x v="2"/>
    <n v="6664"/>
    <n v="0"/>
    <n v="0"/>
    <n v="0"/>
    <n v="6664"/>
    <n v="0"/>
    <n v="0"/>
    <n v="6664"/>
    <n v="89"/>
    <s v="61 To 90 Days"/>
    <d v="2017-04-30T00:00:00"/>
    <s v="AI"/>
    <m/>
    <m/>
    <m/>
    <m/>
    <m/>
    <m/>
    <s v="4570267890"/>
  </r>
  <r>
    <s v="E2C1129375"/>
    <d v="2017-03-21T00:00:00"/>
    <s v="22C0318167"/>
    <x v="69"/>
    <x v="0"/>
    <x v="2"/>
    <n v="6676"/>
    <n v="0"/>
    <n v="6676"/>
    <n v="0"/>
    <n v="0"/>
    <n v="0"/>
    <n v="0"/>
    <n v="0"/>
    <n v="40"/>
    <s v="31 TO 45 Days"/>
    <d v="2017-04-30T00:00:00"/>
    <s v="AI"/>
    <m/>
    <m/>
    <m/>
    <m/>
    <m/>
    <m/>
    <s v="4480468592"/>
  </r>
  <r>
    <s v="E2C1102212"/>
    <d v="2017-01-02T00:00:00"/>
    <s v="22C0308881"/>
    <x v="7"/>
    <x v="0"/>
    <x v="4"/>
    <n v="6687"/>
    <n v="0"/>
    <n v="0"/>
    <n v="0"/>
    <n v="0"/>
    <n v="6687"/>
    <n v="0"/>
    <n v="6687"/>
    <n v="118"/>
    <s v="91 To 120 Days"/>
    <d v="2017-04-30T00:00:00"/>
    <s v="AI"/>
    <m/>
    <m/>
    <m/>
    <s v="EDI - Sent"/>
    <m/>
    <m/>
    <s v="4071581418"/>
  </r>
  <r>
    <s v="E2C1132437"/>
    <d v="2017-03-28T00:00:00"/>
    <s v="22C0318815"/>
    <x v="10"/>
    <x v="0"/>
    <x v="5"/>
    <n v="6695"/>
    <n v="0"/>
    <n v="6695"/>
    <n v="0"/>
    <n v="0"/>
    <n v="0"/>
    <n v="0"/>
    <n v="0"/>
    <n v="33"/>
    <s v="31 TO 45 Days"/>
    <d v="2017-04-30T00:00:00"/>
    <s v="AI"/>
    <m/>
    <m/>
    <m/>
    <m/>
    <m/>
    <m/>
    <s v="4912901988"/>
  </r>
  <r>
    <s v="E2C1132791"/>
    <d v="2017-03-29T00:00:00"/>
    <s v="22C0319522"/>
    <x v="100"/>
    <x v="0"/>
    <x v="16"/>
    <n v="6710"/>
    <n v="0"/>
    <n v="6710"/>
    <n v="0"/>
    <n v="0"/>
    <n v="0"/>
    <n v="0"/>
    <n v="0"/>
    <n v="32"/>
    <s v="31 TO 45 Days"/>
    <d v="2017-04-30T00:00:00"/>
    <s v="AI"/>
    <m/>
    <m/>
    <m/>
    <m/>
    <m/>
    <m/>
    <s v="4520086532"/>
  </r>
  <r>
    <s v="E2C1115538"/>
    <d v="2017-02-09T00:00:00"/>
    <s v="22C0313485"/>
    <x v="1"/>
    <x v="0"/>
    <x v="1"/>
    <n v="6718"/>
    <n v="0"/>
    <n v="0"/>
    <n v="0"/>
    <n v="6718"/>
    <n v="0"/>
    <n v="0"/>
    <n v="6718"/>
    <n v="80"/>
    <s v="61 To 90 Days"/>
    <d v="2017-04-30T00:00:00"/>
    <s v="AI"/>
    <m/>
    <m/>
    <m/>
    <m/>
    <m/>
    <m/>
    <s v="4540130031"/>
  </r>
  <r>
    <s v="E2C1122430"/>
    <d v="2017-02-28T00:00:00"/>
    <s v="22C0314942"/>
    <x v="54"/>
    <x v="0"/>
    <x v="2"/>
    <n v="6718"/>
    <n v="0"/>
    <n v="0"/>
    <n v="0"/>
    <n v="6718"/>
    <n v="0"/>
    <n v="0"/>
    <n v="6718"/>
    <n v="61"/>
    <s v="61 To 90 Days"/>
    <d v="2017-04-30T00:00:00"/>
    <s v="AI"/>
    <m/>
    <m/>
    <m/>
    <m/>
    <m/>
    <m/>
    <s v="4850056369"/>
  </r>
  <r>
    <s v="E2C1134006"/>
    <d v="2017-03-31T00:00:00"/>
    <s v="22C0319668"/>
    <x v="97"/>
    <x v="0"/>
    <x v="14"/>
    <n v="6723"/>
    <n v="6723"/>
    <n v="0"/>
    <n v="0"/>
    <n v="0"/>
    <n v="0"/>
    <n v="0"/>
    <n v="0"/>
    <n v="30"/>
    <s v="30 Days"/>
    <d v="2017-04-30T00:00:00"/>
    <s v="AI"/>
    <m/>
    <m/>
    <m/>
    <m/>
    <m/>
    <m/>
    <s v="4711239548"/>
  </r>
  <r>
    <s v="E2C1131958"/>
    <d v="2017-03-27T00:00:00"/>
    <s v="22C0319320"/>
    <x v="100"/>
    <x v="0"/>
    <x v="16"/>
    <n v="6732"/>
    <n v="0"/>
    <n v="6732"/>
    <n v="0"/>
    <n v="0"/>
    <n v="0"/>
    <n v="0"/>
    <n v="0"/>
    <n v="34"/>
    <s v="31 TO 45 Days"/>
    <d v="2017-04-30T00:00:00"/>
    <s v="AI"/>
    <m/>
    <m/>
    <m/>
    <m/>
    <m/>
    <m/>
    <s v="4520086493"/>
  </r>
  <r>
    <s v="E2C1132486"/>
    <d v="2017-03-28T00:00:00"/>
    <s v="22C0319076"/>
    <x v="81"/>
    <x v="0"/>
    <x v="3"/>
    <n v="6749"/>
    <n v="0"/>
    <n v="6749"/>
    <n v="0"/>
    <n v="0"/>
    <n v="0"/>
    <n v="0"/>
    <n v="0"/>
    <n v="33"/>
    <s v="31 TO 45 Days"/>
    <d v="2017-04-30T00:00:00"/>
    <s v="AI"/>
    <m/>
    <m/>
    <m/>
    <s v="EDI - Sent"/>
    <d v="2017-03-28T00:00:00"/>
    <s v="EDI successfully sent"/>
    <s v="419166346"/>
  </r>
  <r>
    <s v="E2C1120580"/>
    <d v="2017-02-24T00:00:00"/>
    <s v="22C0315426"/>
    <x v="100"/>
    <x v="0"/>
    <x v="16"/>
    <n v="6755"/>
    <n v="0"/>
    <n v="0"/>
    <n v="0"/>
    <n v="6755"/>
    <n v="0"/>
    <n v="0"/>
    <n v="6755"/>
    <n v="65"/>
    <s v="61 To 90 Days"/>
    <d v="2017-04-30T00:00:00"/>
    <s v="AI"/>
    <m/>
    <m/>
    <m/>
    <m/>
    <m/>
    <m/>
    <s v="4520085999"/>
  </r>
  <r>
    <s v="E2C1137724"/>
    <d v="2017-04-10T00:00:00"/>
    <s v="22C0320189"/>
    <x v="10"/>
    <x v="0"/>
    <x v="5"/>
    <n v="6776"/>
    <n v="6776"/>
    <n v="0"/>
    <n v="0"/>
    <n v="0"/>
    <n v="0"/>
    <n v="0"/>
    <n v="0"/>
    <n v="20"/>
    <s v="30 Days"/>
    <d v="2017-04-30T00:00:00"/>
    <s v="AI"/>
    <m/>
    <m/>
    <m/>
    <m/>
    <m/>
    <m/>
    <s v="4912911512"/>
  </r>
  <r>
    <s v="E2C1137704"/>
    <d v="2017-04-10T00:00:00"/>
    <s v="22C0320045"/>
    <x v="10"/>
    <x v="0"/>
    <x v="5"/>
    <n v="6794"/>
    <n v="6794"/>
    <n v="0"/>
    <n v="0"/>
    <n v="0"/>
    <n v="0"/>
    <n v="0"/>
    <n v="0"/>
    <n v="20"/>
    <s v="30 Days"/>
    <d v="2017-04-30T00:00:00"/>
    <s v="AI"/>
    <m/>
    <m/>
    <m/>
    <m/>
    <m/>
    <m/>
    <s v="4912910550"/>
  </r>
  <r>
    <s v="E2C1127611"/>
    <d v="2017-03-16T00:00:00"/>
    <s v="22C0317335"/>
    <x v="101"/>
    <x v="0"/>
    <x v="26"/>
    <n v="6794"/>
    <n v="0"/>
    <n v="6794"/>
    <n v="0"/>
    <n v="0"/>
    <n v="0"/>
    <n v="0"/>
    <n v="0"/>
    <n v="45"/>
    <s v="31 TO 45 Days"/>
    <d v="2017-04-30T00:00:00"/>
    <s v="AI"/>
    <m/>
    <m/>
    <m/>
    <m/>
    <m/>
    <m/>
    <s v="419166050"/>
  </r>
  <r>
    <s v="E2C1131561"/>
    <d v="2017-03-25T00:00:00"/>
    <s v="22C0318345"/>
    <x v="59"/>
    <x v="0"/>
    <x v="21"/>
    <n v="6827"/>
    <n v="0"/>
    <n v="6827"/>
    <n v="0"/>
    <n v="0"/>
    <n v="0"/>
    <n v="0"/>
    <n v="0"/>
    <n v="36"/>
    <s v="31 TO 45 Days"/>
    <d v="2017-04-30T00:00:00"/>
    <s v="AI"/>
    <m/>
    <m/>
    <m/>
    <m/>
    <m/>
    <m/>
    <s v="4250155820"/>
  </r>
  <r>
    <s v="E2C1137475"/>
    <d v="2017-04-10T00:00:00"/>
    <s v="22C0320954"/>
    <x v="102"/>
    <x v="0"/>
    <x v="2"/>
    <n v="6837"/>
    <n v="6837"/>
    <n v="0"/>
    <n v="0"/>
    <n v="0"/>
    <n v="0"/>
    <n v="0"/>
    <n v="0"/>
    <n v="20"/>
    <s v="30 Days"/>
    <d v="2017-04-30T00:00:00"/>
    <s v="AI"/>
    <m/>
    <m/>
    <m/>
    <m/>
    <m/>
    <m/>
    <s v="417470430"/>
  </r>
  <r>
    <s v="E2C1111413"/>
    <d v="2017-01-28T00:00:00"/>
    <s v="22C0312468"/>
    <x v="7"/>
    <x v="0"/>
    <x v="4"/>
    <n v="6868"/>
    <n v="0"/>
    <n v="0"/>
    <n v="0"/>
    <n v="0"/>
    <n v="6868"/>
    <n v="0"/>
    <n v="6868"/>
    <n v="92"/>
    <s v="91 To 120 Days"/>
    <d v="2017-04-30T00:00:00"/>
    <s v="AI"/>
    <m/>
    <m/>
    <m/>
    <s v="EDI - Sent"/>
    <d v="2017-01-30T00:00:00"/>
    <s v="EDI successfully sent"/>
    <s v="4711225660"/>
  </r>
  <r>
    <s v="E2C1136178"/>
    <d v="2017-04-05T00:00:00"/>
    <s v="22C0320487"/>
    <x v="70"/>
    <x v="0"/>
    <x v="7"/>
    <n v="6890"/>
    <n v="6890"/>
    <n v="0"/>
    <n v="0"/>
    <n v="0"/>
    <n v="0"/>
    <n v="0"/>
    <n v="0"/>
    <n v="25"/>
    <s v="30 Days"/>
    <d v="2017-04-30T00:00:00"/>
    <s v="AI"/>
    <m/>
    <m/>
    <m/>
    <m/>
    <m/>
    <m/>
    <s v="4540131642"/>
  </r>
  <r>
    <s v="E2C1131560"/>
    <d v="2017-03-25T00:00:00"/>
    <s v="22C0318343"/>
    <x v="59"/>
    <x v="0"/>
    <x v="21"/>
    <n v="6912"/>
    <n v="0"/>
    <n v="6912"/>
    <n v="0"/>
    <n v="0"/>
    <n v="0"/>
    <n v="0"/>
    <n v="0"/>
    <n v="36"/>
    <s v="31 TO 45 Days"/>
    <d v="2017-04-30T00:00:00"/>
    <s v="AI"/>
    <m/>
    <m/>
    <m/>
    <m/>
    <m/>
    <m/>
    <s v="4250155666"/>
  </r>
  <r>
    <s v="E2C1109282"/>
    <d v="2017-01-23T00:00:00"/>
    <s v="22C0311527"/>
    <x v="54"/>
    <x v="0"/>
    <x v="2"/>
    <n v="6913"/>
    <n v="0"/>
    <n v="0"/>
    <n v="0"/>
    <n v="0"/>
    <n v="6913"/>
    <n v="0"/>
    <n v="6913"/>
    <n v="97"/>
    <s v="91 To 120 Days"/>
    <d v="2017-04-30T00:00:00"/>
    <s v="AI"/>
    <m/>
    <m/>
    <m/>
    <m/>
    <m/>
    <m/>
    <s v="4560216510"/>
  </r>
  <r>
    <s v="E2C1132440"/>
    <d v="2017-03-28T00:00:00"/>
    <s v="22C0318808"/>
    <x v="10"/>
    <x v="0"/>
    <x v="5"/>
    <n v="6914"/>
    <n v="0"/>
    <n v="6914"/>
    <n v="0"/>
    <n v="0"/>
    <n v="0"/>
    <n v="0"/>
    <n v="0"/>
    <n v="33"/>
    <s v="31 TO 45 Days"/>
    <d v="2017-04-30T00:00:00"/>
    <s v="AI"/>
    <m/>
    <m/>
    <m/>
    <m/>
    <m/>
    <m/>
    <s v="4912901742"/>
  </r>
  <r>
    <s v="E2C1114907"/>
    <d v="2017-02-07T00:00:00"/>
    <s v="22C0313526"/>
    <x v="81"/>
    <x v="0"/>
    <x v="3"/>
    <n v="6926"/>
    <n v="0"/>
    <n v="0"/>
    <n v="0"/>
    <n v="6926"/>
    <n v="0"/>
    <n v="0"/>
    <n v="6926"/>
    <n v="82"/>
    <s v="61 To 90 Days"/>
    <d v="2017-04-30T00:00:00"/>
    <s v="AI"/>
    <m/>
    <m/>
    <m/>
    <s v="EDI - Sent"/>
    <d v="2017-02-07T00:00:00"/>
    <s v="EDI successfully sent"/>
    <s v="419165090"/>
  </r>
  <r>
    <s v="E2C1139669"/>
    <d v="2017-04-15T00:00:00"/>
    <s v="22C0321598"/>
    <x v="103"/>
    <x v="0"/>
    <x v="2"/>
    <n v="6933"/>
    <n v="6933"/>
    <n v="0"/>
    <n v="0"/>
    <n v="0"/>
    <n v="0"/>
    <n v="0"/>
    <n v="0"/>
    <n v="15"/>
    <s v="30 Days"/>
    <d v="2017-04-30T00:00:00"/>
    <s v="AI"/>
    <m/>
    <m/>
    <m/>
    <m/>
    <m/>
    <m/>
    <s v="4711243937"/>
  </r>
  <r>
    <s v="E2C1130992"/>
    <d v="2017-03-24T00:00:00"/>
    <s v="22C0318947"/>
    <x v="24"/>
    <x v="0"/>
    <x v="16"/>
    <n v="6956"/>
    <n v="0"/>
    <n v="6956"/>
    <n v="0"/>
    <n v="0"/>
    <n v="0"/>
    <n v="0"/>
    <n v="0"/>
    <n v="37"/>
    <s v="31 TO 45 Days"/>
    <d v="2017-04-30T00:00:00"/>
    <s v="AI"/>
    <m/>
    <m/>
    <m/>
    <s v="EDE - Error"/>
    <d v="2017-03-24T00:00:00"/>
    <s v="=&quot;Input Control: 967927828ERROR:  No cdf conversion exists in_x000d_        parker_hannifin_ct_logistics_210_PARK210_charge_codes.cdf for GL Code_x000d_        V102 or V102_ORIGIN CHARGES billed on Invoice 22C0318947, Sequential_x000d_        Invoice E2C1130992. Please ver"/>
    <s v="4570270559"/>
  </r>
  <r>
    <s v="E2C1129389"/>
    <d v="2017-03-21T00:00:00"/>
    <s v="22C0317324"/>
    <x v="20"/>
    <x v="0"/>
    <x v="2"/>
    <n v="6968"/>
    <n v="0"/>
    <n v="6968"/>
    <n v="0"/>
    <n v="0"/>
    <n v="0"/>
    <n v="0"/>
    <n v="0"/>
    <n v="40"/>
    <s v="31 TO 45 Days"/>
    <d v="2017-04-30T00:00:00"/>
    <s v="AI"/>
    <m/>
    <m/>
    <m/>
    <m/>
    <m/>
    <m/>
    <s v="4950137142"/>
  </r>
  <r>
    <s v="E2C1129399"/>
    <d v="2017-03-21T00:00:00"/>
    <s v="22C0317984"/>
    <x v="20"/>
    <x v="0"/>
    <x v="2"/>
    <n v="6968"/>
    <n v="0"/>
    <n v="6968"/>
    <n v="0"/>
    <n v="0"/>
    <n v="0"/>
    <n v="0"/>
    <n v="0"/>
    <n v="40"/>
    <s v="31 TO 45 Days"/>
    <d v="2017-04-30T00:00:00"/>
    <s v="AI"/>
    <m/>
    <m/>
    <m/>
    <m/>
    <m/>
    <m/>
    <s v="4950137218"/>
  </r>
  <r>
    <s v="E2C1132128"/>
    <d v="2017-03-27T00:00:00"/>
    <s v="22C0318929"/>
    <x v="20"/>
    <x v="0"/>
    <x v="2"/>
    <n v="6968"/>
    <n v="0"/>
    <n v="6968"/>
    <n v="0"/>
    <n v="0"/>
    <n v="0"/>
    <n v="0"/>
    <n v="0"/>
    <n v="34"/>
    <s v="31 TO 45 Days"/>
    <d v="2017-04-30T00:00:00"/>
    <s v="AI"/>
    <m/>
    <m/>
    <m/>
    <m/>
    <m/>
    <m/>
    <s v="4950137289"/>
  </r>
  <r>
    <s v="E2C1127981"/>
    <d v="2017-03-17T00:00:00"/>
    <s v="22C0317912"/>
    <x v="83"/>
    <x v="0"/>
    <x v="23"/>
    <n v="6986"/>
    <n v="0"/>
    <n v="6986"/>
    <n v="0"/>
    <n v="0"/>
    <n v="0"/>
    <n v="0"/>
    <n v="0"/>
    <n v="44"/>
    <s v="31 TO 45 Days"/>
    <d v="2017-04-30T00:00:00"/>
    <s v="AI"/>
    <m/>
    <m/>
    <m/>
    <m/>
    <m/>
    <m/>
    <s v="4200121361"/>
  </r>
  <r>
    <s v="E2C1121414"/>
    <d v="2017-02-27T00:00:00"/>
    <s v="22C0315126"/>
    <x v="20"/>
    <x v="0"/>
    <x v="2"/>
    <n v="7003"/>
    <n v="0"/>
    <n v="0"/>
    <n v="0"/>
    <n v="7003"/>
    <n v="0"/>
    <n v="0"/>
    <n v="7003"/>
    <n v="62"/>
    <s v="61 To 90 Days"/>
    <d v="2017-04-30T00:00:00"/>
    <s v="AI"/>
    <m/>
    <m/>
    <m/>
    <m/>
    <m/>
    <m/>
    <s v="4950136931"/>
  </r>
  <r>
    <s v="E2C1138009"/>
    <d v="2017-04-11T00:00:00"/>
    <s v="22C0320745"/>
    <x v="1"/>
    <x v="0"/>
    <x v="1"/>
    <n v="7017"/>
    <n v="7017"/>
    <n v="0"/>
    <n v="0"/>
    <n v="0"/>
    <n v="0"/>
    <n v="0"/>
    <n v="0"/>
    <n v="19"/>
    <s v="30 Days"/>
    <d v="2017-04-30T00:00:00"/>
    <s v="AI"/>
    <m/>
    <m/>
    <m/>
    <m/>
    <m/>
    <m/>
    <s v="4750389875"/>
  </r>
  <r>
    <s v="E2C1133499"/>
    <d v="2017-03-30T00:00:00"/>
    <s v="22C0319390"/>
    <x v="28"/>
    <x v="0"/>
    <x v="17"/>
    <n v="7030"/>
    <n v="0"/>
    <n v="7030"/>
    <n v="0"/>
    <n v="0"/>
    <n v="0"/>
    <n v="0"/>
    <n v="0"/>
    <n v="31"/>
    <s v="31 TO 45 Days"/>
    <d v="2017-04-30T00:00:00"/>
    <s v="AI"/>
    <m/>
    <m/>
    <m/>
    <m/>
    <m/>
    <m/>
    <s v="4600158521"/>
  </r>
  <r>
    <s v="E2C1137730"/>
    <d v="2017-04-10T00:00:00"/>
    <s v="22C0320696"/>
    <x v="10"/>
    <x v="0"/>
    <x v="5"/>
    <n v="7041"/>
    <n v="7041"/>
    <n v="0"/>
    <n v="0"/>
    <n v="0"/>
    <n v="0"/>
    <n v="0"/>
    <n v="0"/>
    <n v="20"/>
    <s v="30 Days"/>
    <d v="2017-04-30T00:00:00"/>
    <s v="AI"/>
    <m/>
    <m/>
    <m/>
    <m/>
    <m/>
    <m/>
    <s v="4912914326"/>
  </r>
  <r>
    <s v="E2C1108975"/>
    <d v="2017-01-21T00:00:00"/>
    <s v="22C0311373"/>
    <x v="20"/>
    <x v="0"/>
    <x v="2"/>
    <n v="7044"/>
    <n v="0"/>
    <n v="0"/>
    <n v="0"/>
    <n v="0"/>
    <n v="7044"/>
    <n v="0"/>
    <n v="7044"/>
    <n v="99"/>
    <s v="91 To 120 Days"/>
    <d v="2017-04-30T00:00:00"/>
    <s v="AI"/>
    <m/>
    <m/>
    <m/>
    <m/>
    <m/>
    <m/>
    <s v="4950136579"/>
  </r>
  <r>
    <s v="E2C1137488"/>
    <d v="2017-04-10T00:00:00"/>
    <s v="22C0321102"/>
    <x v="104"/>
    <x v="0"/>
    <x v="1"/>
    <n v="7055"/>
    <n v="7055"/>
    <n v="0"/>
    <n v="0"/>
    <n v="0"/>
    <n v="0"/>
    <n v="0"/>
    <n v="0"/>
    <n v="20"/>
    <s v="30 Days"/>
    <d v="2017-04-30T00:00:00"/>
    <s v="AI"/>
    <m/>
    <m/>
    <m/>
    <m/>
    <m/>
    <m/>
    <s v="4711242954"/>
  </r>
  <r>
    <s v="E2C1105264"/>
    <d v="2017-01-11T00:00:00"/>
    <s v="22C0310431"/>
    <x v="54"/>
    <x v="0"/>
    <x v="2"/>
    <n v="7056"/>
    <n v="0"/>
    <n v="0"/>
    <n v="0"/>
    <n v="0"/>
    <n v="7056"/>
    <n v="0"/>
    <n v="7056"/>
    <n v="109"/>
    <s v="91 To 120 Days"/>
    <d v="2017-04-30T00:00:00"/>
    <s v="AI"/>
    <m/>
    <m/>
    <m/>
    <m/>
    <m/>
    <m/>
    <s v="4560216177"/>
  </r>
  <r>
    <s v="E2C1139781"/>
    <d v="2017-04-15T00:00:00"/>
    <s v="22C0321694"/>
    <x v="105"/>
    <x v="0"/>
    <x v="2"/>
    <n v="7061"/>
    <n v="7061"/>
    <n v="0"/>
    <n v="0"/>
    <n v="0"/>
    <n v="0"/>
    <n v="0"/>
    <n v="0"/>
    <n v="15"/>
    <s v="30 Days"/>
    <d v="2017-04-30T00:00:00"/>
    <s v="AI"/>
    <m/>
    <m/>
    <m/>
    <m/>
    <m/>
    <m/>
    <s v="410291812"/>
  </r>
  <r>
    <s v="E2C1138592"/>
    <d v="2017-04-12T00:00:00"/>
    <s v="22C0321119"/>
    <x v="106"/>
    <x v="0"/>
    <x v="2"/>
    <n v="7061"/>
    <n v="7061"/>
    <n v="0"/>
    <n v="0"/>
    <n v="0"/>
    <n v="0"/>
    <n v="0"/>
    <n v="0"/>
    <n v="18"/>
    <s v="30 Days"/>
    <d v="2017-04-30T00:00:00"/>
    <s v="AI"/>
    <m/>
    <m/>
    <m/>
    <m/>
    <m/>
    <m/>
    <s v="4240074503"/>
  </r>
  <r>
    <s v="E2C1118282"/>
    <d v="2017-02-17T00:00:00"/>
    <s v="22C0314363"/>
    <x v="107"/>
    <x v="0"/>
    <x v="2"/>
    <n v="7061"/>
    <n v="0"/>
    <n v="0"/>
    <n v="0"/>
    <n v="7061"/>
    <n v="0"/>
    <n v="0"/>
    <n v="7061"/>
    <n v="72"/>
    <s v="61 To 90 Days"/>
    <d v="2017-04-30T00:00:00"/>
    <s v="AI"/>
    <m/>
    <m/>
    <m/>
    <m/>
    <m/>
    <m/>
    <s v="4711229028"/>
  </r>
  <r>
    <s v="E2C1137728"/>
    <d v="2017-04-10T00:00:00"/>
    <s v="22C0320947"/>
    <x v="108"/>
    <x v="0"/>
    <x v="2"/>
    <n v="7061"/>
    <n v="7061"/>
    <n v="0"/>
    <n v="0"/>
    <n v="0"/>
    <n v="0"/>
    <n v="0"/>
    <n v="0"/>
    <n v="20"/>
    <s v="30 Days"/>
    <d v="2017-04-30T00:00:00"/>
    <s v="AI"/>
    <m/>
    <m/>
    <m/>
    <m/>
    <m/>
    <m/>
    <s v="4300212960"/>
  </r>
  <r>
    <s v="E2C1138600"/>
    <d v="2017-04-12T00:00:00"/>
    <s v="22C0321306"/>
    <x v="109"/>
    <x v="0"/>
    <x v="2"/>
    <n v="7061"/>
    <n v="7061"/>
    <n v="0"/>
    <n v="0"/>
    <n v="0"/>
    <n v="0"/>
    <n v="0"/>
    <n v="0"/>
    <n v="18"/>
    <s v="30 Days"/>
    <d v="2017-04-30T00:00:00"/>
    <s v="AI"/>
    <m/>
    <m/>
    <m/>
    <m/>
    <m/>
    <m/>
    <s v="422350052"/>
  </r>
  <r>
    <s v="E2C1105588"/>
    <d v="2017-01-12T00:00:00"/>
    <s v="22C0310244"/>
    <x v="110"/>
    <x v="0"/>
    <x v="2"/>
    <n v="7061"/>
    <n v="0"/>
    <n v="0"/>
    <n v="0"/>
    <n v="0"/>
    <n v="7061"/>
    <n v="0"/>
    <n v="7061"/>
    <n v="108"/>
    <s v="91 To 120 Days"/>
    <d v="2017-04-30T00:00:00"/>
    <s v="AI"/>
    <m/>
    <m/>
    <m/>
    <m/>
    <m/>
    <m/>
    <s v="4540129328"/>
  </r>
  <r>
    <s v="E2C1139459"/>
    <d v="2017-04-13T00:00:00"/>
    <s v="22C0321244"/>
    <x v="111"/>
    <x v="0"/>
    <x v="2"/>
    <n v="7061"/>
    <n v="7061"/>
    <n v="0"/>
    <n v="0"/>
    <n v="0"/>
    <n v="0"/>
    <n v="0"/>
    <n v="0"/>
    <n v="17"/>
    <s v="30 Days"/>
    <d v="2017-04-30T00:00:00"/>
    <s v="AI"/>
    <m/>
    <m/>
    <m/>
    <m/>
    <m/>
    <m/>
    <s v="4940189793"/>
  </r>
  <r>
    <s v="E2C1139681"/>
    <d v="2017-04-15T00:00:00"/>
    <s v="22C0321693"/>
    <x v="112"/>
    <x v="0"/>
    <x v="2"/>
    <n v="7061"/>
    <n v="7061"/>
    <n v="0"/>
    <n v="0"/>
    <n v="0"/>
    <n v="0"/>
    <n v="0"/>
    <n v="0"/>
    <n v="15"/>
    <s v="30 Days"/>
    <d v="2017-04-30T00:00:00"/>
    <s v="AI"/>
    <m/>
    <m/>
    <m/>
    <m/>
    <m/>
    <m/>
    <s v="410291789"/>
  </r>
  <r>
    <s v="E2C1139451"/>
    <d v="2017-04-13T00:00:00"/>
    <s v="22C0321474"/>
    <x v="113"/>
    <x v="0"/>
    <x v="2"/>
    <n v="7061"/>
    <n v="7061"/>
    <n v="0"/>
    <n v="0"/>
    <n v="0"/>
    <n v="0"/>
    <n v="0"/>
    <n v="0"/>
    <n v="17"/>
    <s v="30 Days"/>
    <d v="2017-04-30T00:00:00"/>
    <s v="AI"/>
    <m/>
    <m/>
    <m/>
    <m/>
    <m/>
    <m/>
    <s v="4912922005"/>
  </r>
  <r>
    <s v="E2C1135924"/>
    <d v="2017-04-05T00:00:00"/>
    <s v="22C0320497"/>
    <x v="114"/>
    <x v="0"/>
    <x v="15"/>
    <n v="7061"/>
    <n v="7061"/>
    <n v="0"/>
    <n v="0"/>
    <n v="0"/>
    <n v="0"/>
    <n v="0"/>
    <n v="0"/>
    <n v="25"/>
    <s v="30 Days"/>
    <d v="2017-04-30T00:00:00"/>
    <s v="AI"/>
    <m/>
    <m/>
    <m/>
    <m/>
    <m/>
    <m/>
    <s v="4480471260"/>
  </r>
  <r>
    <s v="E2C1139093"/>
    <d v="2017-04-13T00:00:00"/>
    <s v="22C0321113"/>
    <x v="115"/>
    <x v="0"/>
    <x v="2"/>
    <n v="7061"/>
    <n v="7061"/>
    <n v="0"/>
    <n v="0"/>
    <n v="0"/>
    <n v="0"/>
    <n v="0"/>
    <n v="0"/>
    <n v="17"/>
    <s v="30 Days"/>
    <d v="2017-04-30T00:00:00"/>
    <s v="AI"/>
    <m/>
    <m/>
    <m/>
    <m/>
    <m/>
    <m/>
    <s v="4080254177"/>
  </r>
  <r>
    <s v="E2C1127773"/>
    <d v="2017-03-16T00:00:00"/>
    <s v="22C0290756"/>
    <x v="7"/>
    <x v="0"/>
    <x v="4"/>
    <n v="7061"/>
    <n v="0"/>
    <n v="7061"/>
    <n v="0"/>
    <n v="0"/>
    <n v="0"/>
    <n v="0"/>
    <n v="0"/>
    <n v="45"/>
    <s v="31 TO 45 Days"/>
    <d v="2017-04-30T00:00:00"/>
    <s v="AI"/>
    <m/>
    <m/>
    <m/>
    <s v="EDI - Sent"/>
    <d v="2017-03-16T00:00:00"/>
    <s v="EDI successfully sent"/>
    <s v="417345814"/>
  </r>
  <r>
    <s v="E2C1138598"/>
    <d v="2017-04-12T00:00:00"/>
    <s v="22C0321339"/>
    <x v="116"/>
    <x v="0"/>
    <x v="2"/>
    <n v="7061"/>
    <n v="7061"/>
    <n v="0"/>
    <n v="0"/>
    <n v="0"/>
    <n v="0"/>
    <n v="0"/>
    <n v="0"/>
    <n v="18"/>
    <s v="30 Days"/>
    <d v="2017-04-30T00:00:00"/>
    <s v="AI"/>
    <m/>
    <m/>
    <m/>
    <m/>
    <m/>
    <m/>
    <s v="4711243299"/>
  </r>
  <r>
    <s v="E2C1139680"/>
    <d v="2017-04-15T00:00:00"/>
    <s v="22C0321548"/>
    <x v="117"/>
    <x v="0"/>
    <x v="2"/>
    <n v="7061"/>
    <n v="7061"/>
    <n v="0"/>
    <n v="0"/>
    <n v="0"/>
    <n v="0"/>
    <n v="0"/>
    <n v="0"/>
    <n v="15"/>
    <s v="30 Days"/>
    <d v="2017-04-30T00:00:00"/>
    <s v="AI"/>
    <m/>
    <m/>
    <m/>
    <m/>
    <m/>
    <m/>
    <s v="419166760"/>
  </r>
  <r>
    <s v="E2C1105670"/>
    <d v="2017-01-12T00:00:00"/>
    <s v="22C0310275"/>
    <x v="118"/>
    <x v="0"/>
    <x v="2"/>
    <n v="7061"/>
    <n v="0"/>
    <n v="0"/>
    <n v="0"/>
    <n v="0"/>
    <n v="7061"/>
    <n v="0"/>
    <n v="7061"/>
    <n v="108"/>
    <s v="91 To 120 Days"/>
    <d v="2017-04-30T00:00:00"/>
    <s v="AI"/>
    <m/>
    <m/>
    <m/>
    <m/>
    <m/>
    <m/>
    <s v="4711220276"/>
  </r>
  <r>
    <s v="E2C1135864"/>
    <d v="2017-04-04T00:00:00"/>
    <s v="22C0319810"/>
    <x v="31"/>
    <x v="0"/>
    <x v="2"/>
    <n v="7061"/>
    <n v="7061"/>
    <n v="0"/>
    <n v="0"/>
    <n v="0"/>
    <n v="0"/>
    <n v="0"/>
    <n v="0"/>
    <n v="26"/>
    <s v="30 Days"/>
    <d v="2017-04-30T00:00:00"/>
    <s v="AI"/>
    <m/>
    <m/>
    <m/>
    <m/>
    <m/>
    <m/>
    <s v="4041696625"/>
  </r>
  <r>
    <s v="E2C1136813"/>
    <d v="2017-04-07T00:00:00"/>
    <s v="22C0320681"/>
    <x v="119"/>
    <x v="0"/>
    <x v="2"/>
    <n v="7061"/>
    <n v="7061"/>
    <n v="0"/>
    <n v="0"/>
    <n v="0"/>
    <n v="0"/>
    <n v="0"/>
    <n v="0"/>
    <n v="23"/>
    <s v="30 Days"/>
    <d v="2017-04-30T00:00:00"/>
    <s v="AI"/>
    <m/>
    <m/>
    <m/>
    <m/>
    <m/>
    <m/>
    <s v="4170204746"/>
  </r>
  <r>
    <s v="E2C1138624"/>
    <d v="2017-04-12T00:00:00"/>
    <s v="22C0319777"/>
    <x v="120"/>
    <x v="0"/>
    <x v="2"/>
    <n v="7061"/>
    <n v="7061"/>
    <n v="0"/>
    <n v="0"/>
    <n v="0"/>
    <n v="0"/>
    <n v="0"/>
    <n v="0"/>
    <n v="18"/>
    <s v="30 Days"/>
    <d v="2017-04-30T00:00:00"/>
    <s v="AI"/>
    <m/>
    <m/>
    <m/>
    <m/>
    <m/>
    <m/>
    <s v="4170205680"/>
  </r>
  <r>
    <s v="E2C1139448"/>
    <d v="2017-04-13T00:00:00"/>
    <s v="22C0321352"/>
    <x v="121"/>
    <x v="0"/>
    <x v="2"/>
    <n v="7061"/>
    <n v="7061"/>
    <n v="0"/>
    <n v="0"/>
    <n v="0"/>
    <n v="0"/>
    <n v="0"/>
    <n v="0"/>
    <n v="17"/>
    <s v="30 Days"/>
    <d v="2017-04-30T00:00:00"/>
    <s v="AI"/>
    <m/>
    <m/>
    <m/>
    <m/>
    <m/>
    <m/>
    <s v="4812079812"/>
  </r>
  <r>
    <s v="E2C1138056"/>
    <d v="2017-04-11T00:00:00"/>
    <s v="22C0320719"/>
    <x v="122"/>
    <x v="0"/>
    <x v="2"/>
    <n v="7061"/>
    <n v="7061"/>
    <n v="0"/>
    <n v="0"/>
    <n v="0"/>
    <n v="0"/>
    <n v="0"/>
    <n v="0"/>
    <n v="19"/>
    <s v="30 Days"/>
    <d v="2017-04-30T00:00:00"/>
    <s v="AI"/>
    <m/>
    <m/>
    <m/>
    <m/>
    <m/>
    <m/>
    <s v="4310034860"/>
  </r>
  <r>
    <s v="E2C1092175"/>
    <d v="2016-12-06T00:00:00"/>
    <s v="22C0306736"/>
    <x v="123"/>
    <x v="0"/>
    <x v="2"/>
    <n v="7061"/>
    <n v="0"/>
    <n v="0"/>
    <n v="0"/>
    <n v="0"/>
    <n v="0"/>
    <n v="7061"/>
    <n v="7061"/>
    <n v="145"/>
    <s v="Plus120Days"/>
    <d v="2017-04-30T00:00:00"/>
    <s v="AI"/>
    <m/>
    <m/>
    <m/>
    <m/>
    <m/>
    <m/>
    <s v="4711205489"/>
  </r>
  <r>
    <s v="E2C1132751"/>
    <d v="2017-03-29T00:00:00"/>
    <s v="22C0319570"/>
    <x v="123"/>
    <x v="0"/>
    <x v="2"/>
    <n v="7061"/>
    <n v="0"/>
    <n v="7061"/>
    <n v="0"/>
    <n v="0"/>
    <n v="0"/>
    <n v="0"/>
    <n v="0"/>
    <n v="32"/>
    <s v="31 TO 45 Days"/>
    <d v="2017-04-30T00:00:00"/>
    <s v="AI"/>
    <m/>
    <m/>
    <m/>
    <m/>
    <m/>
    <m/>
    <s v="4711232388"/>
  </r>
  <r>
    <s v="E2C1133735"/>
    <d v="2017-03-30T00:00:00"/>
    <s v="22C0319656"/>
    <x v="123"/>
    <x v="0"/>
    <x v="2"/>
    <n v="7061"/>
    <n v="0"/>
    <n v="7061"/>
    <n v="0"/>
    <n v="0"/>
    <n v="0"/>
    <n v="0"/>
    <n v="0"/>
    <n v="31"/>
    <s v="31 TO 45 Days"/>
    <d v="2017-04-30T00:00:00"/>
    <s v="AI"/>
    <m/>
    <m/>
    <m/>
    <m/>
    <m/>
    <m/>
    <s v="4711232394"/>
  </r>
  <r>
    <s v="E2C1134810"/>
    <d v="2017-04-01T00:00:00"/>
    <s v="22C0320113"/>
    <x v="123"/>
    <x v="0"/>
    <x v="2"/>
    <n v="7061"/>
    <n v="7061"/>
    <n v="0"/>
    <n v="0"/>
    <n v="0"/>
    <n v="0"/>
    <n v="0"/>
    <n v="0"/>
    <n v="29"/>
    <s v="30 Days"/>
    <d v="2017-04-30T00:00:00"/>
    <s v="AI"/>
    <m/>
    <m/>
    <m/>
    <m/>
    <m/>
    <m/>
    <s v="4711232409"/>
  </r>
  <r>
    <s v="E2C1137322"/>
    <d v="2017-04-07T00:00:00"/>
    <s v="22C0320690"/>
    <x v="124"/>
    <x v="0"/>
    <x v="2"/>
    <n v="7061"/>
    <n v="7061"/>
    <n v="0"/>
    <n v="0"/>
    <n v="0"/>
    <n v="0"/>
    <n v="0"/>
    <n v="0"/>
    <n v="23"/>
    <s v="30 Days"/>
    <d v="2017-04-30T00:00:00"/>
    <s v="AI"/>
    <m/>
    <m/>
    <m/>
    <m/>
    <m/>
    <m/>
    <s v="4320103199"/>
  </r>
  <r>
    <s v="E2C1139400"/>
    <d v="2017-04-13T00:00:00"/>
    <s v="22C0321396"/>
    <x v="125"/>
    <x v="0"/>
    <x v="2"/>
    <n v="7061"/>
    <n v="7061"/>
    <n v="0"/>
    <n v="0"/>
    <n v="0"/>
    <n v="0"/>
    <n v="0"/>
    <n v="0"/>
    <n v="17"/>
    <s v="30 Days"/>
    <d v="2017-04-30T00:00:00"/>
    <s v="AI"/>
    <m/>
    <m/>
    <m/>
    <m/>
    <m/>
    <m/>
    <s v="4711239088"/>
  </r>
  <r>
    <s v="E2C1136605"/>
    <d v="2017-04-06T00:00:00"/>
    <s v="22C0320727"/>
    <x v="126"/>
    <x v="0"/>
    <x v="2"/>
    <n v="7061"/>
    <n v="7061"/>
    <n v="0"/>
    <n v="0"/>
    <n v="0"/>
    <n v="0"/>
    <n v="0"/>
    <n v="0"/>
    <n v="24"/>
    <s v="30 Days"/>
    <d v="2017-04-30T00:00:00"/>
    <s v="AI"/>
    <m/>
    <m/>
    <m/>
    <m/>
    <m/>
    <m/>
    <s v="417470439"/>
  </r>
  <r>
    <s v="E2C1136906"/>
    <d v="2017-04-07T00:00:00"/>
    <s v="22C0320825"/>
    <x v="127"/>
    <x v="0"/>
    <x v="2"/>
    <n v="7064"/>
    <n v="7064"/>
    <n v="0"/>
    <n v="0"/>
    <n v="0"/>
    <n v="0"/>
    <n v="0"/>
    <n v="0"/>
    <n v="23"/>
    <s v="30 Days"/>
    <d v="2017-04-30T00:00:00"/>
    <s v="AI"/>
    <m/>
    <m/>
    <m/>
    <m/>
    <m/>
    <m/>
    <s v="4052211349"/>
  </r>
  <r>
    <s v="E2C1131009"/>
    <d v="2017-03-24T00:00:00"/>
    <s v="22C0317711"/>
    <x v="10"/>
    <x v="0"/>
    <x v="5"/>
    <n v="7075"/>
    <n v="0"/>
    <n v="7075"/>
    <n v="0"/>
    <n v="0"/>
    <n v="0"/>
    <n v="0"/>
    <n v="0"/>
    <n v="37"/>
    <s v="31 TO 45 Days"/>
    <d v="2017-04-30T00:00:00"/>
    <s v="AI"/>
    <m/>
    <m/>
    <m/>
    <m/>
    <m/>
    <m/>
    <s v="4912895981"/>
  </r>
  <r>
    <s v="E2C1137986"/>
    <d v="2017-04-11T00:00:00"/>
    <s v="22C0321217"/>
    <x v="85"/>
    <x v="0"/>
    <x v="2"/>
    <n v="7083"/>
    <n v="7083"/>
    <n v="0"/>
    <n v="0"/>
    <n v="0"/>
    <n v="0"/>
    <n v="0"/>
    <n v="0"/>
    <n v="19"/>
    <s v="30 Days"/>
    <d v="2017-04-30T00:00:00"/>
    <s v="AI"/>
    <m/>
    <m/>
    <m/>
    <m/>
    <m/>
    <m/>
    <s v="4340042487"/>
  </r>
  <r>
    <s v="E2C1137749"/>
    <d v="2017-04-10T00:00:00"/>
    <s v="22C0320240"/>
    <x v="128"/>
    <x v="0"/>
    <x v="2"/>
    <n v="7092"/>
    <n v="7092"/>
    <n v="0"/>
    <n v="0"/>
    <n v="0"/>
    <n v="0"/>
    <n v="0"/>
    <n v="0"/>
    <n v="20"/>
    <s v="30 Days"/>
    <d v="2017-04-30T00:00:00"/>
    <s v="AI"/>
    <m/>
    <m/>
    <m/>
    <m/>
    <m/>
    <m/>
    <s v="4300211707"/>
  </r>
  <r>
    <s v="E2C1139841"/>
    <d v="2017-04-15T00:00:00"/>
    <s v="22C0321388"/>
    <x v="129"/>
    <x v="0"/>
    <x v="27"/>
    <n v="7093"/>
    <n v="7093"/>
    <n v="0"/>
    <n v="0"/>
    <n v="0"/>
    <n v="0"/>
    <n v="0"/>
    <n v="0"/>
    <n v="15"/>
    <s v="30 Days"/>
    <d v="2017-04-30T00:00:00"/>
    <s v="AI"/>
    <m/>
    <m/>
    <m/>
    <m/>
    <m/>
    <m/>
    <s v="4850057389"/>
  </r>
  <r>
    <s v="E2C1098634"/>
    <d v="2016-12-24T00:00:00"/>
    <s v="22C0307949"/>
    <x v="7"/>
    <x v="0"/>
    <x v="4"/>
    <n v="7093"/>
    <n v="0"/>
    <n v="0"/>
    <n v="0"/>
    <n v="0"/>
    <n v="0"/>
    <n v="7093"/>
    <n v="7093"/>
    <n v="127"/>
    <s v="Plus120Days"/>
    <d v="2017-04-30T00:00:00"/>
    <s v="AI"/>
    <m/>
    <m/>
    <m/>
    <s v="EDI - Sent"/>
    <m/>
    <m/>
    <s v="4071580702"/>
  </r>
  <r>
    <s v="E2C1138226"/>
    <d v="2017-04-11T00:00:00"/>
    <s v="22C0321065"/>
    <x v="130"/>
    <x v="0"/>
    <x v="2"/>
    <n v="7099"/>
    <n v="7099"/>
    <n v="0"/>
    <n v="0"/>
    <n v="0"/>
    <n v="0"/>
    <n v="0"/>
    <n v="0"/>
    <n v="19"/>
    <s v="30 Days"/>
    <d v="2017-04-30T00:00:00"/>
    <s v="AI"/>
    <m/>
    <m/>
    <m/>
    <m/>
    <m/>
    <m/>
    <s v="4570271482"/>
  </r>
  <r>
    <s v="E2C1114827"/>
    <d v="2017-02-07T00:00:00"/>
    <s v="22C0305451"/>
    <x v="131"/>
    <x v="0"/>
    <x v="2"/>
    <n v="7108"/>
    <n v="0"/>
    <n v="0"/>
    <n v="0"/>
    <n v="7108"/>
    <n v="0"/>
    <n v="0"/>
    <n v="7108"/>
    <n v="82"/>
    <s v="61 To 90 Days"/>
    <d v="2017-04-30T00:00:00"/>
    <s v="AI"/>
    <m/>
    <m/>
    <m/>
    <m/>
    <m/>
    <m/>
    <s v="4240071190"/>
  </r>
  <r>
    <s v="E2C1126476"/>
    <d v="2017-03-14T00:00:00"/>
    <s v="22C0317558"/>
    <x v="132"/>
    <x v="0"/>
    <x v="2"/>
    <n v="7110"/>
    <n v="0"/>
    <n v="0"/>
    <n v="7110"/>
    <n v="0"/>
    <n v="0"/>
    <n v="0"/>
    <n v="0"/>
    <n v="47"/>
    <s v="46 To 60 Days"/>
    <d v="2017-04-30T00:00:00"/>
    <s v="AI"/>
    <m/>
    <m/>
    <m/>
    <m/>
    <m/>
    <m/>
    <s v="4711235550"/>
  </r>
  <r>
    <s v="E2C1114849"/>
    <d v="2017-02-07T00:00:00"/>
    <s v="22C0313332"/>
    <x v="69"/>
    <x v="0"/>
    <x v="2"/>
    <n v="7111"/>
    <n v="0"/>
    <n v="0"/>
    <n v="0"/>
    <n v="7111"/>
    <n v="0"/>
    <n v="0"/>
    <n v="7111"/>
    <n v="82"/>
    <s v="61 To 90 Days"/>
    <d v="2017-04-30T00:00:00"/>
    <s v="AI"/>
    <m/>
    <m/>
    <m/>
    <m/>
    <m/>
    <m/>
    <s v="4395842165"/>
  </r>
  <r>
    <s v="E2C1111398"/>
    <d v="2017-01-28T00:00:00"/>
    <s v="22C0312168"/>
    <x v="7"/>
    <x v="0"/>
    <x v="4"/>
    <n v="7119"/>
    <n v="0"/>
    <n v="0"/>
    <n v="0"/>
    <n v="0"/>
    <n v="7119"/>
    <n v="0"/>
    <n v="7119"/>
    <n v="92"/>
    <s v="91 To 120 Days"/>
    <d v="2017-04-30T00:00:00"/>
    <s v="AI"/>
    <m/>
    <m/>
    <m/>
    <s v="EDI - Sent"/>
    <d v="2017-01-30T00:00:00"/>
    <s v="EDI successfully sent"/>
    <s v="4711225160"/>
  </r>
  <r>
    <s v="E2C1133948"/>
    <d v="2017-03-31T00:00:00"/>
    <s v="22C0319192"/>
    <x v="97"/>
    <x v="0"/>
    <x v="14"/>
    <n v="7120"/>
    <n v="7120"/>
    <n v="0"/>
    <n v="0"/>
    <n v="0"/>
    <n v="0"/>
    <n v="0"/>
    <n v="0"/>
    <n v="30"/>
    <s v="30 Days"/>
    <d v="2017-04-30T00:00:00"/>
    <s v="AI"/>
    <m/>
    <m/>
    <m/>
    <m/>
    <m/>
    <m/>
    <s v="4750388674"/>
  </r>
  <r>
    <s v="E2C1134317"/>
    <d v="2017-03-31T00:00:00"/>
    <s v="22C0319606"/>
    <x v="54"/>
    <x v="0"/>
    <x v="2"/>
    <n v="7120"/>
    <n v="7120"/>
    <n v="0"/>
    <n v="0"/>
    <n v="0"/>
    <n v="0"/>
    <n v="0"/>
    <n v="0"/>
    <n v="30"/>
    <s v="30 Days"/>
    <d v="2017-04-30T00:00:00"/>
    <s v="AI"/>
    <m/>
    <m/>
    <m/>
    <m/>
    <m/>
    <m/>
    <s v="4560218979"/>
  </r>
  <r>
    <s v="E2C1137882"/>
    <d v="2017-04-10T00:00:00"/>
    <s v="22C0321049"/>
    <x v="54"/>
    <x v="0"/>
    <x v="2"/>
    <n v="7120"/>
    <n v="7120"/>
    <n v="0"/>
    <n v="0"/>
    <n v="0"/>
    <n v="0"/>
    <n v="0"/>
    <n v="0"/>
    <n v="20"/>
    <s v="30 Days"/>
    <d v="2017-04-30T00:00:00"/>
    <s v="AI"/>
    <m/>
    <m/>
    <m/>
    <m/>
    <m/>
    <m/>
    <s v="4570271333"/>
  </r>
  <r>
    <s v="E2C1132250"/>
    <d v="2017-03-28T00:00:00"/>
    <s v="22C0314197"/>
    <x v="51"/>
    <x v="0"/>
    <x v="3"/>
    <n v="7122"/>
    <n v="0"/>
    <n v="7122"/>
    <n v="0"/>
    <n v="0"/>
    <n v="0"/>
    <n v="0"/>
    <n v="0"/>
    <n v="33"/>
    <s v="31 TO 45 Days"/>
    <d v="2017-04-30T00:00:00"/>
    <s v="AI"/>
    <m/>
    <m/>
    <m/>
    <m/>
    <m/>
    <m/>
    <s v="4190209926"/>
  </r>
  <r>
    <s v="E2C1113287"/>
    <d v="2017-02-01T00:00:00"/>
    <s v="22C0312513"/>
    <x v="20"/>
    <x v="0"/>
    <x v="2"/>
    <n v="7127"/>
    <n v="0"/>
    <n v="0"/>
    <n v="0"/>
    <n v="7127"/>
    <n v="0"/>
    <n v="0"/>
    <n v="7127"/>
    <n v="88"/>
    <s v="61 To 90 Days"/>
    <d v="2017-04-30T00:00:00"/>
    <s v="AI"/>
    <m/>
    <m/>
    <m/>
    <m/>
    <m/>
    <m/>
    <s v="4950136725"/>
  </r>
  <r>
    <s v="E2C1137192"/>
    <d v="2017-04-07T00:00:00"/>
    <s v="22C0320732"/>
    <x v="133"/>
    <x v="0"/>
    <x v="2"/>
    <n v="7137"/>
    <n v="7137"/>
    <n v="0"/>
    <n v="0"/>
    <n v="0"/>
    <n v="0"/>
    <n v="0"/>
    <n v="0"/>
    <n v="23"/>
    <s v="30 Days"/>
    <d v="2017-04-30T00:00:00"/>
    <s v="AI"/>
    <m/>
    <m/>
    <m/>
    <m/>
    <m/>
    <m/>
    <s v="4300212965"/>
  </r>
  <r>
    <s v="E2C1137473"/>
    <d v="2017-04-10T00:00:00"/>
    <s v="22C0320949"/>
    <x v="85"/>
    <x v="0"/>
    <x v="2"/>
    <n v="7139"/>
    <n v="7139"/>
    <n v="0"/>
    <n v="0"/>
    <n v="0"/>
    <n v="0"/>
    <n v="0"/>
    <n v="0"/>
    <n v="20"/>
    <s v="30 Days"/>
    <d v="2017-04-30T00:00:00"/>
    <s v="AI"/>
    <m/>
    <m/>
    <m/>
    <m/>
    <m/>
    <m/>
    <s v="4340042482"/>
  </r>
  <r>
    <s v="E2C1121160"/>
    <d v="2017-02-27T00:00:00"/>
    <s v="22C0315559"/>
    <x v="134"/>
    <x v="0"/>
    <x v="2"/>
    <n v="7144"/>
    <n v="0"/>
    <n v="0"/>
    <n v="0"/>
    <n v="7144"/>
    <n v="0"/>
    <n v="0"/>
    <n v="7144"/>
    <n v="62"/>
    <s v="61 To 90 Days"/>
    <d v="2017-04-30T00:00:00"/>
    <s v="AI"/>
    <m/>
    <m/>
    <m/>
    <m/>
    <m/>
    <m/>
    <s v="4930435155"/>
  </r>
  <r>
    <s v="E2C1138848"/>
    <d v="2017-04-12T00:00:00"/>
    <s v="22C0321227"/>
    <x v="10"/>
    <x v="0"/>
    <x v="5"/>
    <n v="7144"/>
    <n v="7144"/>
    <n v="0"/>
    <n v="0"/>
    <n v="0"/>
    <n v="0"/>
    <n v="0"/>
    <n v="0"/>
    <n v="18"/>
    <s v="30 Days"/>
    <d v="2017-04-30T00:00:00"/>
    <s v="AI"/>
    <m/>
    <m/>
    <m/>
    <m/>
    <m/>
    <m/>
    <s v="4912920586"/>
  </r>
  <r>
    <s v="E2C1099804"/>
    <d v="2016-12-28T00:00:00"/>
    <s v="22C0308828"/>
    <x v="7"/>
    <x v="0"/>
    <x v="4"/>
    <n v="7145"/>
    <n v="0"/>
    <n v="0"/>
    <n v="0"/>
    <n v="0"/>
    <n v="0"/>
    <n v="7145"/>
    <n v="7145"/>
    <n v="123"/>
    <s v="Plus120Days"/>
    <d v="2017-04-30T00:00:00"/>
    <s v="AI"/>
    <m/>
    <m/>
    <m/>
    <s v="EDI - Sent"/>
    <m/>
    <m/>
    <s v="4711217754"/>
  </r>
  <r>
    <s v="E2C1136454"/>
    <d v="2017-04-06T00:00:00"/>
    <s v="22C0320622"/>
    <x v="129"/>
    <x v="0"/>
    <x v="27"/>
    <n v="7151"/>
    <n v="7151"/>
    <n v="0"/>
    <n v="0"/>
    <n v="0"/>
    <n v="0"/>
    <n v="0"/>
    <n v="0"/>
    <n v="24"/>
    <s v="30 Days"/>
    <d v="2017-04-30T00:00:00"/>
    <s v="AI"/>
    <m/>
    <m/>
    <m/>
    <m/>
    <m/>
    <m/>
    <s v="4850057268"/>
  </r>
  <r>
    <s v="E2C1126587"/>
    <d v="2017-03-14T00:00:00"/>
    <s v="22C0315849"/>
    <x v="135"/>
    <x v="0"/>
    <x v="28"/>
    <n v="7157"/>
    <n v="0"/>
    <n v="0"/>
    <n v="7157"/>
    <n v="0"/>
    <n v="0"/>
    <n v="0"/>
    <n v="0"/>
    <n v="47"/>
    <s v="46 To 60 Days"/>
    <d v="2017-04-30T00:00:00"/>
    <s v="AI"/>
    <m/>
    <m/>
    <m/>
    <s v="EDI - Sent"/>
    <d v="2017-03-14T00:00:00"/>
    <s v="EDI successfully sent"/>
    <s v="4071587282"/>
  </r>
  <r>
    <s v="E2C1120407"/>
    <d v="2017-02-24T00:00:00"/>
    <s v="22C0315056"/>
    <x v="28"/>
    <x v="0"/>
    <x v="17"/>
    <n v="7161"/>
    <n v="0"/>
    <n v="0"/>
    <n v="0"/>
    <n v="7161"/>
    <n v="0"/>
    <n v="0"/>
    <n v="7161"/>
    <n v="65"/>
    <s v="61 To 90 Days"/>
    <d v="2017-04-30T00:00:00"/>
    <s v="AI"/>
    <m/>
    <m/>
    <m/>
    <m/>
    <m/>
    <m/>
    <s v="4600157105"/>
  </r>
  <r>
    <s v="E2C1109284"/>
    <d v="2017-01-23T00:00:00"/>
    <s v="22C0311528"/>
    <x v="54"/>
    <x v="0"/>
    <x v="2"/>
    <n v="7163"/>
    <n v="0"/>
    <n v="0"/>
    <n v="0"/>
    <n v="0"/>
    <n v="7163"/>
    <n v="0"/>
    <n v="7163"/>
    <n v="97"/>
    <s v="91 To 120 Days"/>
    <d v="2017-04-30T00:00:00"/>
    <s v="AI"/>
    <m/>
    <m/>
    <m/>
    <m/>
    <m/>
    <m/>
    <s v="4560216557"/>
  </r>
  <r>
    <s v="E2C1128709"/>
    <d v="2017-03-20T00:00:00"/>
    <s v="22C0316759"/>
    <x v="1"/>
    <x v="0"/>
    <x v="1"/>
    <n v="7167"/>
    <n v="0"/>
    <n v="7167"/>
    <n v="0"/>
    <n v="0"/>
    <n v="0"/>
    <n v="0"/>
    <n v="0"/>
    <n v="41"/>
    <s v="31 TO 45 Days"/>
    <d v="2017-04-30T00:00:00"/>
    <s v="AI"/>
    <m/>
    <m/>
    <m/>
    <m/>
    <m/>
    <m/>
    <s v="4750387611"/>
  </r>
  <r>
    <s v="E2C1128735"/>
    <d v="2017-03-20T00:00:00"/>
    <s v="22C0316758"/>
    <x v="1"/>
    <x v="0"/>
    <x v="1"/>
    <n v="7167"/>
    <n v="0"/>
    <n v="7167"/>
    <n v="0"/>
    <n v="0"/>
    <n v="0"/>
    <n v="0"/>
    <n v="0"/>
    <n v="41"/>
    <s v="31 TO 45 Days"/>
    <d v="2017-04-30T00:00:00"/>
    <s v="AI"/>
    <m/>
    <m/>
    <m/>
    <m/>
    <m/>
    <m/>
    <s v="4750387610"/>
  </r>
  <r>
    <s v="E2C1128758"/>
    <d v="2017-03-20T00:00:00"/>
    <s v="22C0316951"/>
    <x v="1"/>
    <x v="0"/>
    <x v="1"/>
    <n v="7167"/>
    <n v="0"/>
    <n v="7167"/>
    <n v="0"/>
    <n v="0"/>
    <n v="0"/>
    <n v="0"/>
    <n v="0"/>
    <n v="41"/>
    <s v="31 TO 45 Days"/>
    <d v="2017-04-30T00:00:00"/>
    <s v="AI"/>
    <m/>
    <m/>
    <m/>
    <m/>
    <m/>
    <m/>
    <s v="4750387704"/>
  </r>
  <r>
    <s v="E2C1128763"/>
    <d v="2017-03-20T00:00:00"/>
    <s v="22C0317131"/>
    <x v="1"/>
    <x v="0"/>
    <x v="1"/>
    <n v="7167"/>
    <n v="0"/>
    <n v="7167"/>
    <n v="0"/>
    <n v="0"/>
    <n v="0"/>
    <n v="0"/>
    <n v="0"/>
    <n v="41"/>
    <s v="31 TO 45 Days"/>
    <d v="2017-04-30T00:00:00"/>
    <s v="AI"/>
    <m/>
    <m/>
    <m/>
    <m/>
    <m/>
    <m/>
    <s v="4750387787"/>
  </r>
  <r>
    <s v="E2C1128764"/>
    <d v="2017-03-20T00:00:00"/>
    <s v="22C0317132"/>
    <x v="1"/>
    <x v="0"/>
    <x v="1"/>
    <n v="7167"/>
    <n v="0"/>
    <n v="7167"/>
    <n v="0"/>
    <n v="0"/>
    <n v="0"/>
    <n v="0"/>
    <n v="0"/>
    <n v="41"/>
    <s v="31 TO 45 Days"/>
    <d v="2017-04-30T00:00:00"/>
    <s v="AI"/>
    <m/>
    <m/>
    <m/>
    <m/>
    <m/>
    <m/>
    <s v="4750387790"/>
  </r>
  <r>
    <s v="E2C1128770"/>
    <d v="2017-03-20T00:00:00"/>
    <s v="22C0317134"/>
    <x v="1"/>
    <x v="0"/>
    <x v="1"/>
    <n v="7167"/>
    <n v="0"/>
    <n v="7167"/>
    <n v="0"/>
    <n v="0"/>
    <n v="0"/>
    <n v="0"/>
    <n v="0"/>
    <n v="41"/>
    <s v="31 TO 45 Days"/>
    <d v="2017-04-30T00:00:00"/>
    <s v="AI"/>
    <m/>
    <m/>
    <m/>
    <m/>
    <m/>
    <m/>
    <s v="4750387802"/>
  </r>
  <r>
    <s v="E2C1128779"/>
    <d v="2017-03-20T00:00:00"/>
    <s v="22C0318063"/>
    <x v="1"/>
    <x v="0"/>
    <x v="1"/>
    <n v="7167"/>
    <n v="0"/>
    <n v="7167"/>
    <n v="0"/>
    <n v="0"/>
    <n v="0"/>
    <n v="0"/>
    <n v="0"/>
    <n v="41"/>
    <s v="31 TO 45 Days"/>
    <d v="2017-04-30T00:00:00"/>
    <s v="AI"/>
    <m/>
    <m/>
    <m/>
    <m/>
    <m/>
    <m/>
    <s v="4750388288"/>
  </r>
  <r>
    <s v="E2C1128782"/>
    <d v="2017-03-20T00:00:00"/>
    <s v="22C0318064"/>
    <x v="1"/>
    <x v="0"/>
    <x v="1"/>
    <n v="7167"/>
    <n v="0"/>
    <n v="7167"/>
    <n v="0"/>
    <n v="0"/>
    <n v="0"/>
    <n v="0"/>
    <n v="0"/>
    <n v="41"/>
    <s v="31 TO 45 Days"/>
    <d v="2017-04-30T00:00:00"/>
    <s v="AI"/>
    <m/>
    <m/>
    <m/>
    <m/>
    <m/>
    <m/>
    <s v="4750388290"/>
  </r>
  <r>
    <s v="E2C1128768"/>
    <d v="2017-03-20T00:00:00"/>
    <s v="22C0317133"/>
    <x v="1"/>
    <x v="0"/>
    <x v="1"/>
    <n v="7167"/>
    <n v="0"/>
    <n v="7167"/>
    <n v="0"/>
    <n v="0"/>
    <n v="0"/>
    <n v="0"/>
    <n v="0"/>
    <n v="41"/>
    <s v="31 TO 45 Days"/>
    <d v="2017-04-30T00:00:00"/>
    <s v="AI"/>
    <m/>
    <m/>
    <m/>
    <m/>
    <m/>
    <m/>
    <s v="4750387791"/>
  </r>
  <r>
    <s v="E2C1133837"/>
    <d v="2017-03-30T00:00:00"/>
    <s v="22C0319728"/>
    <x v="129"/>
    <x v="0"/>
    <x v="27"/>
    <n v="7176"/>
    <n v="0"/>
    <n v="7176"/>
    <n v="0"/>
    <n v="0"/>
    <n v="0"/>
    <n v="0"/>
    <n v="0"/>
    <n v="31"/>
    <s v="31 TO 45 Days"/>
    <d v="2017-04-30T00:00:00"/>
    <s v="AI"/>
    <m/>
    <m/>
    <m/>
    <m/>
    <m/>
    <m/>
    <s v="4850057153"/>
  </r>
  <r>
    <s v="E2C1126744"/>
    <d v="2017-03-15T00:00:00"/>
    <s v="22C0317775"/>
    <x v="1"/>
    <x v="0"/>
    <x v="1"/>
    <n v="7180"/>
    <n v="0"/>
    <n v="0"/>
    <n v="7180"/>
    <n v="0"/>
    <n v="0"/>
    <n v="0"/>
    <n v="0"/>
    <n v="46"/>
    <s v="46 To 60 Days"/>
    <d v="2017-04-30T00:00:00"/>
    <s v="AI"/>
    <m/>
    <m/>
    <m/>
    <m/>
    <m/>
    <m/>
    <s v="4750388226"/>
  </r>
  <r>
    <s v="E2C1133516"/>
    <d v="2017-03-30T00:00:00"/>
    <s v="22C0319392"/>
    <x v="28"/>
    <x v="0"/>
    <x v="17"/>
    <n v="7180"/>
    <n v="0"/>
    <n v="7180"/>
    <n v="0"/>
    <n v="0"/>
    <n v="0"/>
    <n v="0"/>
    <n v="0"/>
    <n v="31"/>
    <s v="31 TO 45 Days"/>
    <d v="2017-04-30T00:00:00"/>
    <s v="AI"/>
    <m/>
    <m/>
    <m/>
    <m/>
    <m/>
    <m/>
    <s v="4600158603"/>
  </r>
  <r>
    <s v="E2C1126390"/>
    <d v="2017-03-14T00:00:00"/>
    <s v="22C0316627"/>
    <x v="1"/>
    <x v="0"/>
    <x v="1"/>
    <n v="7182"/>
    <n v="0"/>
    <n v="0"/>
    <n v="7182"/>
    <n v="0"/>
    <n v="0"/>
    <n v="0"/>
    <n v="0"/>
    <n v="47"/>
    <s v="46 To 60 Days"/>
    <d v="2017-04-30T00:00:00"/>
    <s v="AI"/>
    <m/>
    <m/>
    <m/>
    <m/>
    <m/>
    <m/>
    <s v="4540130788"/>
  </r>
  <r>
    <s v="E2C1132531"/>
    <d v="2017-03-29T00:00:00"/>
    <s v="22C0318962"/>
    <x v="1"/>
    <x v="0"/>
    <x v="1"/>
    <n v="7185"/>
    <n v="0"/>
    <n v="7185"/>
    <n v="0"/>
    <n v="0"/>
    <n v="0"/>
    <n v="0"/>
    <n v="0"/>
    <n v="32"/>
    <s v="31 TO 45 Days"/>
    <d v="2017-04-30T00:00:00"/>
    <s v="AI"/>
    <m/>
    <m/>
    <m/>
    <m/>
    <m/>
    <m/>
    <s v="4750388833"/>
  </r>
  <r>
    <s v="E2C1131382"/>
    <d v="2017-03-25T00:00:00"/>
    <s v="22C0318459"/>
    <x v="1"/>
    <x v="0"/>
    <x v="1"/>
    <n v="7189"/>
    <n v="0"/>
    <n v="7189"/>
    <n v="0"/>
    <n v="0"/>
    <n v="0"/>
    <n v="0"/>
    <n v="0"/>
    <n v="36"/>
    <s v="31 TO 45 Days"/>
    <d v="2017-04-30T00:00:00"/>
    <s v="AI"/>
    <m/>
    <m/>
    <m/>
    <m/>
    <m/>
    <m/>
    <s v="4750388192"/>
  </r>
  <r>
    <s v="E2C1131394"/>
    <d v="2017-03-25T00:00:00"/>
    <s v="22C0318464"/>
    <x v="1"/>
    <x v="0"/>
    <x v="1"/>
    <n v="7189"/>
    <n v="0"/>
    <n v="7189"/>
    <n v="0"/>
    <n v="0"/>
    <n v="0"/>
    <n v="0"/>
    <n v="0"/>
    <n v="36"/>
    <s v="31 TO 45 Days"/>
    <d v="2017-04-30T00:00:00"/>
    <s v="AI"/>
    <m/>
    <m/>
    <m/>
    <m/>
    <m/>
    <m/>
    <s v="4750388670"/>
  </r>
  <r>
    <s v="E2C1131397"/>
    <d v="2017-03-25T00:00:00"/>
    <s v="22C0318460"/>
    <x v="1"/>
    <x v="0"/>
    <x v="1"/>
    <n v="7189"/>
    <n v="0"/>
    <n v="7189"/>
    <n v="0"/>
    <n v="0"/>
    <n v="0"/>
    <n v="0"/>
    <n v="0"/>
    <n v="36"/>
    <s v="31 TO 45 Days"/>
    <d v="2017-04-30T00:00:00"/>
    <s v="AI"/>
    <m/>
    <m/>
    <m/>
    <m/>
    <m/>
    <m/>
    <s v="4750388287"/>
  </r>
  <r>
    <s v="E2C1131401"/>
    <d v="2017-03-25T00:00:00"/>
    <s v="22C0318465"/>
    <x v="1"/>
    <x v="0"/>
    <x v="1"/>
    <n v="7189"/>
    <n v="0"/>
    <n v="7189"/>
    <n v="0"/>
    <n v="0"/>
    <n v="0"/>
    <n v="0"/>
    <n v="0"/>
    <n v="36"/>
    <s v="31 TO 45 Days"/>
    <d v="2017-04-30T00:00:00"/>
    <s v="AI"/>
    <m/>
    <m/>
    <m/>
    <m/>
    <m/>
    <m/>
    <s v="4750388671"/>
  </r>
  <r>
    <s v="E2C1138597"/>
    <d v="2017-04-12T00:00:00"/>
    <s v="22C0320983"/>
    <x v="136"/>
    <x v="0"/>
    <x v="2"/>
    <n v="7190"/>
    <n v="7190"/>
    <n v="0"/>
    <n v="0"/>
    <n v="0"/>
    <n v="0"/>
    <n v="0"/>
    <n v="0"/>
    <n v="18"/>
    <s v="30 Days"/>
    <d v="2017-04-30T00:00:00"/>
    <s v="AI"/>
    <m/>
    <m/>
    <m/>
    <m/>
    <m/>
    <m/>
    <s v="4395876577"/>
  </r>
  <r>
    <s v="E2C1136451"/>
    <d v="2017-04-06T00:00:00"/>
    <s v="22C0320726"/>
    <x v="88"/>
    <x v="0"/>
    <x v="2"/>
    <n v="7192"/>
    <n v="7192"/>
    <n v="0"/>
    <n v="0"/>
    <n v="0"/>
    <n v="0"/>
    <n v="0"/>
    <n v="0"/>
    <n v="24"/>
    <s v="30 Days"/>
    <d v="2017-04-30T00:00:00"/>
    <s v="AI"/>
    <m/>
    <m/>
    <m/>
    <m/>
    <m/>
    <m/>
    <s v="417470427"/>
  </r>
  <r>
    <s v="E2C1138309"/>
    <d v="2017-04-11T00:00:00"/>
    <s v="22C0320823"/>
    <x v="137"/>
    <x v="0"/>
    <x v="2"/>
    <n v="7192"/>
    <n v="7192"/>
    <n v="0"/>
    <n v="0"/>
    <n v="0"/>
    <n v="0"/>
    <n v="0"/>
    <n v="0"/>
    <n v="19"/>
    <s v="30 Days"/>
    <d v="2017-04-30T00:00:00"/>
    <s v="AI"/>
    <m/>
    <m/>
    <m/>
    <m/>
    <m/>
    <m/>
    <s v="4052203993"/>
  </r>
  <r>
    <s v="E2C1135508"/>
    <d v="2017-04-03T00:00:00"/>
    <s v="22C0320301"/>
    <x v="24"/>
    <x v="0"/>
    <x v="16"/>
    <n v="7199"/>
    <n v="7199"/>
    <n v="0"/>
    <n v="0"/>
    <n v="0"/>
    <n v="0"/>
    <n v="0"/>
    <n v="0"/>
    <n v="27"/>
    <s v="30 Days"/>
    <d v="2017-04-30T00:00:00"/>
    <s v="AI"/>
    <m/>
    <m/>
    <m/>
    <s v="EDI - Sent"/>
    <d v="2017-04-03T00:00:00"/>
    <s v="EDI successfully sent"/>
    <s v="4570270984"/>
  </r>
  <r>
    <s v="E2C1125675"/>
    <d v="2017-03-10T00:00:00"/>
    <s v="22C0316752"/>
    <x v="28"/>
    <x v="0"/>
    <x v="17"/>
    <n v="7213"/>
    <n v="0"/>
    <n v="0"/>
    <n v="7213"/>
    <n v="0"/>
    <n v="0"/>
    <n v="0"/>
    <n v="0"/>
    <n v="51"/>
    <s v="46 To 60 Days"/>
    <d v="2017-04-30T00:00:00"/>
    <s v="AI"/>
    <m/>
    <m/>
    <m/>
    <m/>
    <m/>
    <m/>
    <s v="4600157710"/>
  </r>
  <r>
    <s v="E2C1137705"/>
    <d v="2017-04-10T00:00:00"/>
    <s v="22C0319825"/>
    <x v="138"/>
    <x v="0"/>
    <x v="2"/>
    <n v="7216"/>
    <n v="7216"/>
    <n v="0"/>
    <n v="0"/>
    <n v="0"/>
    <n v="0"/>
    <n v="0"/>
    <n v="0"/>
    <n v="20"/>
    <s v="30 Days"/>
    <d v="2017-04-30T00:00:00"/>
    <s v="AI"/>
    <m/>
    <m/>
    <m/>
    <m/>
    <m/>
    <m/>
    <s v="415821986"/>
  </r>
  <r>
    <s v="E2C1115449"/>
    <d v="2017-02-08T00:00:00"/>
    <s v="22C0313455"/>
    <x v="1"/>
    <x v="0"/>
    <x v="1"/>
    <n v="7229"/>
    <n v="0"/>
    <n v="0"/>
    <n v="0"/>
    <n v="7229"/>
    <n v="0"/>
    <n v="0"/>
    <n v="7229"/>
    <n v="81"/>
    <s v="61 To 90 Days"/>
    <d v="2017-04-30T00:00:00"/>
    <s v="AI"/>
    <m/>
    <m/>
    <m/>
    <m/>
    <m/>
    <m/>
    <s v="4750385687"/>
  </r>
  <r>
    <s v="E2C1120808"/>
    <d v="2017-02-25T00:00:00"/>
    <s v="22C0315397"/>
    <x v="28"/>
    <x v="0"/>
    <x v="17"/>
    <n v="7238"/>
    <n v="0"/>
    <n v="0"/>
    <n v="0"/>
    <n v="7238"/>
    <n v="0"/>
    <n v="0"/>
    <n v="7238"/>
    <n v="64"/>
    <s v="61 To 90 Days"/>
    <d v="2017-04-30T00:00:00"/>
    <s v="AI"/>
    <m/>
    <m/>
    <m/>
    <m/>
    <m/>
    <m/>
    <s v="4600157248"/>
  </r>
  <r>
    <s v="E2C1139454"/>
    <d v="2017-04-13T00:00:00"/>
    <s v="22C0321479"/>
    <x v="139"/>
    <x v="0"/>
    <x v="2"/>
    <n v="7240"/>
    <n v="7240"/>
    <n v="0"/>
    <n v="0"/>
    <n v="0"/>
    <n v="0"/>
    <n v="0"/>
    <n v="0"/>
    <n v="17"/>
    <s v="30 Days"/>
    <d v="2017-04-30T00:00:00"/>
    <s v="AI"/>
    <m/>
    <m/>
    <m/>
    <m/>
    <m/>
    <m/>
    <s v="4912922609"/>
  </r>
  <r>
    <s v="E2C1111889"/>
    <d v="2017-01-30T00:00:00"/>
    <s v="22C0312170"/>
    <x v="61"/>
    <x v="0"/>
    <x v="2"/>
    <n v="7243"/>
    <n v="0"/>
    <n v="0"/>
    <n v="0"/>
    <n v="7243"/>
    <n v="0"/>
    <n v="0"/>
    <n v="7243"/>
    <n v="90"/>
    <s v="61 To 90 Days"/>
    <d v="2017-04-30T00:00:00"/>
    <s v="AI"/>
    <m/>
    <m/>
    <m/>
    <m/>
    <m/>
    <m/>
    <s v="4711225213"/>
  </r>
  <r>
    <s v="E2C1134324"/>
    <d v="2017-03-31T00:00:00"/>
    <s v="22C0319748"/>
    <x v="54"/>
    <x v="0"/>
    <x v="2"/>
    <n v="7261"/>
    <n v="7261"/>
    <n v="0"/>
    <n v="0"/>
    <n v="0"/>
    <n v="0"/>
    <n v="0"/>
    <n v="0"/>
    <n v="30"/>
    <s v="30 Days"/>
    <d v="2017-04-30T00:00:00"/>
    <s v="AI"/>
    <m/>
    <m/>
    <m/>
    <m/>
    <m/>
    <m/>
    <s v="416564555"/>
  </r>
  <r>
    <s v="E2C1137884"/>
    <d v="2017-04-10T00:00:00"/>
    <s v="22C0320763"/>
    <x v="54"/>
    <x v="0"/>
    <x v="2"/>
    <n v="7261"/>
    <n v="7261"/>
    <n v="0"/>
    <n v="0"/>
    <n v="0"/>
    <n v="0"/>
    <n v="0"/>
    <n v="0"/>
    <n v="20"/>
    <s v="30 Days"/>
    <d v="2017-04-30T00:00:00"/>
    <s v="AI"/>
    <m/>
    <m/>
    <m/>
    <m/>
    <m/>
    <m/>
    <s v="416564691"/>
  </r>
  <r>
    <s v="E2C1111911"/>
    <d v="2017-01-30T00:00:00"/>
    <s v="22C0312292"/>
    <x v="7"/>
    <x v="0"/>
    <x v="4"/>
    <n v="7266"/>
    <n v="0"/>
    <n v="0"/>
    <n v="0"/>
    <n v="7266"/>
    <n v="0"/>
    <n v="0"/>
    <n v="7266"/>
    <n v="90"/>
    <s v="61 To 90 Days"/>
    <d v="2017-04-30T00:00:00"/>
    <s v="AI"/>
    <m/>
    <m/>
    <m/>
    <s v="EDI - Sent"/>
    <d v="2017-01-30T00:00:00"/>
    <s v="EDI successfully sent"/>
    <s v="4210170958"/>
  </r>
  <r>
    <s v="E2C1137714"/>
    <d v="2017-04-10T00:00:00"/>
    <s v="22C0320182"/>
    <x v="10"/>
    <x v="0"/>
    <x v="5"/>
    <n v="7267"/>
    <n v="7267"/>
    <n v="0"/>
    <n v="0"/>
    <n v="0"/>
    <n v="0"/>
    <n v="0"/>
    <n v="0"/>
    <n v="20"/>
    <s v="30 Days"/>
    <d v="2017-04-30T00:00:00"/>
    <s v="AI"/>
    <m/>
    <m/>
    <m/>
    <m/>
    <m/>
    <m/>
    <s v="4912911499"/>
  </r>
  <r>
    <s v="E2C1137859"/>
    <d v="2017-04-10T00:00:00"/>
    <s v="22C0320616"/>
    <x v="140"/>
    <x v="0"/>
    <x v="29"/>
    <n v="7275"/>
    <n v="7275"/>
    <n v="0"/>
    <n v="0"/>
    <n v="0"/>
    <n v="0"/>
    <n v="0"/>
    <n v="0"/>
    <n v="20"/>
    <s v="30 Days"/>
    <d v="2017-04-30T00:00:00"/>
    <s v="AI"/>
    <n v="110.96"/>
    <s v="USD"/>
    <m/>
    <s v="EDI - Sent"/>
    <d v="2017-04-10T00:00:00"/>
    <s v="EDI successfully sent"/>
    <s v="AF00038439"/>
  </r>
  <r>
    <s v="E2C1137865"/>
    <d v="2017-04-10T00:00:00"/>
    <s v="22C0320617"/>
    <x v="140"/>
    <x v="0"/>
    <x v="29"/>
    <n v="7275"/>
    <n v="7275"/>
    <n v="0"/>
    <n v="0"/>
    <n v="0"/>
    <n v="0"/>
    <n v="0"/>
    <n v="0"/>
    <n v="20"/>
    <s v="30 Days"/>
    <d v="2017-04-30T00:00:00"/>
    <s v="AI"/>
    <n v="110.98"/>
    <s v="USD"/>
    <m/>
    <s v="EDI - Sent"/>
    <d v="2017-04-10T00:00:00"/>
    <s v="EDI successfully sent"/>
    <s v="AF00038533"/>
  </r>
  <r>
    <s v="E2C1105022"/>
    <d v="2017-01-10T00:00:00"/>
    <s v="22C0309676"/>
    <x v="1"/>
    <x v="0"/>
    <x v="1"/>
    <n v="7278"/>
    <n v="0"/>
    <n v="0"/>
    <n v="0"/>
    <n v="0"/>
    <n v="7278"/>
    <n v="0"/>
    <n v="7278"/>
    <n v="110"/>
    <s v="91 To 120 Days"/>
    <d v="2017-04-30T00:00:00"/>
    <s v="AI"/>
    <m/>
    <m/>
    <m/>
    <m/>
    <m/>
    <m/>
    <s v="4540129241"/>
  </r>
  <r>
    <s v="E2C1139347"/>
    <d v="2017-04-13T00:00:00"/>
    <s v="22C0320793"/>
    <x v="140"/>
    <x v="0"/>
    <x v="29"/>
    <n v="7281"/>
    <n v="7281"/>
    <n v="0"/>
    <n v="0"/>
    <n v="0"/>
    <n v="0"/>
    <n v="0"/>
    <n v="0"/>
    <n v="17"/>
    <s v="30 Days"/>
    <d v="2017-04-30T00:00:00"/>
    <s v="AI"/>
    <n v="110.98"/>
    <s v="USD"/>
    <m/>
    <s v="EDI - Sent"/>
    <d v="2017-04-13T00:00:00"/>
    <s v="EDI successfully sent"/>
    <s v="4831172897"/>
  </r>
  <r>
    <s v="E2C1139391"/>
    <d v="2017-04-13T00:00:00"/>
    <s v="22C0321153"/>
    <x v="140"/>
    <x v="0"/>
    <x v="29"/>
    <n v="7281"/>
    <n v="7281"/>
    <n v="0"/>
    <n v="0"/>
    <n v="0"/>
    <n v="0"/>
    <n v="0"/>
    <n v="0"/>
    <n v="17"/>
    <s v="30 Days"/>
    <d v="2017-04-30T00:00:00"/>
    <s v="AI"/>
    <n v="110.98"/>
    <s v="USD"/>
    <m/>
    <s v="EDI - Sent"/>
    <d v="2017-04-14T00:00:00"/>
    <s v="EDI successfully sent"/>
    <s v="410388010"/>
  </r>
  <r>
    <s v="E2C1113733"/>
    <d v="2017-02-02T00:00:00"/>
    <s v="22C0313058"/>
    <x v="1"/>
    <x v="0"/>
    <x v="1"/>
    <n v="7290"/>
    <n v="0"/>
    <n v="0"/>
    <n v="0"/>
    <n v="7290"/>
    <n v="0"/>
    <n v="0"/>
    <n v="7290"/>
    <n v="87"/>
    <s v="61 To 90 Days"/>
    <d v="2017-04-30T00:00:00"/>
    <s v="AI"/>
    <m/>
    <m/>
    <m/>
    <m/>
    <m/>
    <m/>
    <s v="4750385573"/>
  </r>
  <r>
    <s v="E2C1138790"/>
    <d v="2017-04-12T00:00:00"/>
    <s v="22C0320591"/>
    <x v="140"/>
    <x v="0"/>
    <x v="29"/>
    <n v="7294"/>
    <n v="7294"/>
    <n v="0"/>
    <n v="0"/>
    <n v="0"/>
    <n v="0"/>
    <n v="0"/>
    <n v="0"/>
    <n v="18"/>
    <s v="30 Days"/>
    <d v="2017-04-30T00:00:00"/>
    <s v="AI"/>
    <n v="110.98"/>
    <s v="USD"/>
    <m/>
    <s v="EDI - Sent"/>
    <d v="2017-04-12T00:00:00"/>
    <s v="EDI successfully sent"/>
    <s v="43Z1052247"/>
  </r>
  <r>
    <s v="E2C1138348"/>
    <d v="2017-04-11T00:00:00"/>
    <s v="22C0320703"/>
    <x v="140"/>
    <x v="0"/>
    <x v="29"/>
    <n v="7306"/>
    <n v="7306"/>
    <n v="0"/>
    <n v="0"/>
    <n v="0"/>
    <n v="0"/>
    <n v="0"/>
    <n v="0"/>
    <n v="19"/>
    <s v="30 Days"/>
    <d v="2017-04-30T00:00:00"/>
    <s v="AI"/>
    <n v="110.98"/>
    <s v="USD"/>
    <m/>
    <s v="EDI - Sent"/>
    <d v="2017-04-12T00:00:00"/>
    <s v="EDI successfully sent"/>
    <s v="4912914385"/>
  </r>
  <r>
    <s v="E2C1135384"/>
    <d v="2017-04-03T00:00:00"/>
    <s v="22C0319337"/>
    <x v="140"/>
    <x v="0"/>
    <x v="29"/>
    <n v="7320"/>
    <n v="7320"/>
    <n v="0"/>
    <n v="0"/>
    <n v="0"/>
    <n v="0"/>
    <n v="0"/>
    <n v="0"/>
    <n v="27"/>
    <s v="30 Days"/>
    <d v="2017-04-30T00:00:00"/>
    <s v="AI"/>
    <n v="110.98"/>
    <s v="USD"/>
    <m/>
    <s v="EDI - Sent"/>
    <d v="2017-04-03T00:00:00"/>
    <s v="EDI successfully sent"/>
    <s v="4831171840"/>
  </r>
  <r>
    <s v="E2C1135430"/>
    <d v="2017-04-03T00:00:00"/>
    <s v="22C0319167"/>
    <x v="140"/>
    <x v="0"/>
    <x v="29"/>
    <n v="7320"/>
    <n v="7320"/>
    <n v="0"/>
    <n v="0"/>
    <n v="0"/>
    <n v="0"/>
    <n v="0"/>
    <n v="0"/>
    <n v="27"/>
    <s v="30 Days"/>
    <d v="2017-04-30T00:00:00"/>
    <s v="AI"/>
    <n v="110.98"/>
    <s v="USD"/>
    <m/>
    <s v="EDI - Sent"/>
    <d v="2017-04-03T00:00:00"/>
    <s v="EDI successfully sent"/>
    <s v="412121778"/>
  </r>
  <r>
    <s v="E2C1134365"/>
    <d v="2017-03-31T00:00:00"/>
    <s v="22C0319127"/>
    <x v="140"/>
    <x v="0"/>
    <x v="29"/>
    <n v="7324"/>
    <n v="7324"/>
    <n v="0"/>
    <n v="0"/>
    <n v="0"/>
    <n v="0"/>
    <n v="0"/>
    <n v="0"/>
    <n v="30"/>
    <s v="30 Days"/>
    <d v="2017-04-30T00:00:00"/>
    <s v="AI"/>
    <n v="110.98"/>
    <s v="USD"/>
    <m/>
    <s v="EDI - Sent"/>
    <d v="2017-03-31T00:00:00"/>
    <s v="EDI successfully sent"/>
    <s v="AF00038100"/>
  </r>
  <r>
    <s v="E2C1134414"/>
    <d v="2017-03-31T00:00:00"/>
    <s v="22C0319128"/>
    <x v="140"/>
    <x v="0"/>
    <x v="29"/>
    <n v="7324"/>
    <n v="7324"/>
    <n v="0"/>
    <n v="0"/>
    <n v="0"/>
    <n v="0"/>
    <n v="0"/>
    <n v="0"/>
    <n v="30"/>
    <s v="30 Days"/>
    <d v="2017-04-30T00:00:00"/>
    <s v="AI"/>
    <n v="110.98"/>
    <s v="USD"/>
    <m/>
    <s v="EDI - Sent"/>
    <d v="2017-03-31T00:00:00"/>
    <s v="EDI successfully sent"/>
    <s v="AF00038101"/>
  </r>
  <r>
    <s v="E2C1134459"/>
    <d v="2017-03-31T00:00:00"/>
    <s v="22C0318995"/>
    <x v="140"/>
    <x v="0"/>
    <x v="29"/>
    <n v="7324"/>
    <n v="7324"/>
    <n v="0"/>
    <n v="0"/>
    <n v="0"/>
    <n v="0"/>
    <n v="0"/>
    <n v="0"/>
    <n v="30"/>
    <s v="30 Days"/>
    <d v="2017-04-30T00:00:00"/>
    <s v="AI"/>
    <n v="110.98"/>
    <s v="USD"/>
    <m/>
    <s v="EDI - Sent"/>
    <d v="2017-03-31T00:00:00"/>
    <s v="EDI successfully sent"/>
    <s v="4831171737"/>
  </r>
  <r>
    <s v="E2C1135119"/>
    <d v="2017-04-01T00:00:00"/>
    <s v="22C0320068"/>
    <x v="28"/>
    <x v="0"/>
    <x v="17"/>
    <n v="7327"/>
    <n v="7327"/>
    <n v="0"/>
    <n v="0"/>
    <n v="0"/>
    <n v="0"/>
    <n v="0"/>
    <n v="0"/>
    <n v="29"/>
    <s v="30 Days"/>
    <d v="2017-04-30T00:00:00"/>
    <s v="AI"/>
    <m/>
    <m/>
    <m/>
    <m/>
    <m/>
    <m/>
    <s v="4930437465"/>
  </r>
  <r>
    <s v="E2C1101570"/>
    <d v="2016-12-31T00:00:00"/>
    <s v="22C0309340"/>
    <x v="129"/>
    <x v="0"/>
    <x v="27"/>
    <n v="7337"/>
    <n v="0"/>
    <n v="0"/>
    <n v="0"/>
    <n v="0"/>
    <n v="7337"/>
    <n v="0"/>
    <n v="7337"/>
    <n v="120"/>
    <s v="91 To 120 Days"/>
    <d v="2017-04-30T00:00:00"/>
    <s v="AI"/>
    <m/>
    <m/>
    <m/>
    <m/>
    <m/>
    <m/>
    <s v="4850055426"/>
  </r>
  <r>
    <s v="E2C1132596"/>
    <d v="2017-03-29T00:00:00"/>
    <s v="22C0318750"/>
    <x v="140"/>
    <x v="0"/>
    <x v="29"/>
    <n v="7340"/>
    <n v="0"/>
    <n v="7340"/>
    <n v="0"/>
    <n v="0"/>
    <n v="0"/>
    <n v="0"/>
    <n v="0"/>
    <n v="32"/>
    <s v="31 TO 45 Days"/>
    <d v="2017-04-30T00:00:00"/>
    <s v="AI"/>
    <n v="110.98"/>
    <s v="USD"/>
    <m/>
    <s v="EDI - Sent"/>
    <d v="2017-03-29T00:00:00"/>
    <s v="EDI successfully sent"/>
    <s v="415189315"/>
  </r>
  <r>
    <s v="E2C1107040"/>
    <d v="2017-01-17T00:00:00"/>
    <s v="22C0311102"/>
    <x v="7"/>
    <x v="0"/>
    <x v="4"/>
    <n v="7344"/>
    <n v="0"/>
    <n v="0"/>
    <n v="0"/>
    <n v="0"/>
    <n v="7344"/>
    <n v="0"/>
    <n v="7344"/>
    <n v="103"/>
    <s v="91 To 120 Days"/>
    <d v="2017-04-30T00:00:00"/>
    <s v="AI"/>
    <m/>
    <m/>
    <m/>
    <s v="EDI - Sent"/>
    <m/>
    <m/>
    <s v="4210170790"/>
  </r>
  <r>
    <s v="E2C1136093"/>
    <d v="2017-04-05T00:00:00"/>
    <s v="22C0320042"/>
    <x v="141"/>
    <x v="0"/>
    <x v="2"/>
    <n v="7349"/>
    <n v="7349"/>
    <n v="0"/>
    <n v="0"/>
    <n v="0"/>
    <n v="0"/>
    <n v="0"/>
    <n v="0"/>
    <n v="25"/>
    <s v="30 Days"/>
    <d v="2017-04-30T00:00:00"/>
    <s v="AI"/>
    <m/>
    <m/>
    <m/>
    <m/>
    <m/>
    <m/>
    <s v="4912910518"/>
  </r>
  <r>
    <s v="E2C1137989"/>
    <d v="2017-04-11T00:00:00"/>
    <s v="22C0321221"/>
    <x v="142"/>
    <x v="0"/>
    <x v="2"/>
    <n v="7349"/>
    <n v="7349"/>
    <n v="0"/>
    <n v="0"/>
    <n v="0"/>
    <n v="0"/>
    <n v="0"/>
    <n v="0"/>
    <n v="19"/>
    <s v="30 Days"/>
    <d v="2017-04-30T00:00:00"/>
    <s v="AI"/>
    <m/>
    <m/>
    <m/>
    <m/>
    <m/>
    <m/>
    <s v="4912914415"/>
  </r>
  <r>
    <s v="E2C1137990"/>
    <d v="2017-04-11T00:00:00"/>
    <s v="22C0321222"/>
    <x v="142"/>
    <x v="0"/>
    <x v="2"/>
    <n v="7349"/>
    <n v="7349"/>
    <n v="0"/>
    <n v="0"/>
    <n v="0"/>
    <n v="0"/>
    <n v="0"/>
    <n v="0"/>
    <n v="19"/>
    <s v="30 Days"/>
    <d v="2017-04-30T00:00:00"/>
    <s v="AI"/>
    <m/>
    <m/>
    <m/>
    <m/>
    <m/>
    <m/>
    <s v="4912914416"/>
  </r>
  <r>
    <s v="E2C1137991"/>
    <d v="2017-04-11T00:00:00"/>
    <s v="22C0321223"/>
    <x v="142"/>
    <x v="0"/>
    <x v="2"/>
    <n v="7349"/>
    <n v="7349"/>
    <n v="0"/>
    <n v="0"/>
    <n v="0"/>
    <n v="0"/>
    <n v="0"/>
    <n v="0"/>
    <n v="19"/>
    <s v="30 Days"/>
    <d v="2017-04-30T00:00:00"/>
    <s v="AI"/>
    <m/>
    <m/>
    <m/>
    <m/>
    <m/>
    <m/>
    <s v="4912914417"/>
  </r>
  <r>
    <s v="E2C1137472"/>
    <d v="2017-04-10T00:00:00"/>
    <s v="22C0320916"/>
    <x v="143"/>
    <x v="0"/>
    <x v="2"/>
    <n v="7349"/>
    <n v="7349"/>
    <n v="0"/>
    <n v="0"/>
    <n v="0"/>
    <n v="0"/>
    <n v="0"/>
    <n v="0"/>
    <n v="20"/>
    <s v="30 Days"/>
    <d v="2017-04-30T00:00:00"/>
    <s v="AI"/>
    <m/>
    <m/>
    <m/>
    <m/>
    <m/>
    <m/>
    <s v="4912904833"/>
  </r>
  <r>
    <s v="E2C1136520"/>
    <d v="2017-04-06T00:00:00"/>
    <s v="22C0320211"/>
    <x v="140"/>
    <x v="0"/>
    <x v="29"/>
    <n v="7350"/>
    <n v="7350"/>
    <n v="0"/>
    <n v="0"/>
    <n v="0"/>
    <n v="0"/>
    <n v="0"/>
    <n v="0"/>
    <n v="24"/>
    <s v="30 Days"/>
    <d v="2017-04-30T00:00:00"/>
    <s v="AI"/>
    <n v="110.98"/>
    <s v="USD"/>
    <m/>
    <s v="EDI - Sent"/>
    <d v="2017-04-06T00:00:00"/>
    <s v="EDI successfully sent"/>
    <s v="AF00038346"/>
  </r>
  <r>
    <s v="E2C1134814"/>
    <d v="2017-04-01T00:00:00"/>
    <s v="22C0319468"/>
    <x v="59"/>
    <x v="0"/>
    <x v="21"/>
    <n v="7351"/>
    <n v="7351"/>
    <n v="0"/>
    <n v="0"/>
    <n v="0"/>
    <n v="0"/>
    <n v="0"/>
    <n v="0"/>
    <n v="29"/>
    <s v="30 Days"/>
    <d v="2017-04-30T00:00:00"/>
    <s v="AI"/>
    <m/>
    <m/>
    <m/>
    <m/>
    <m/>
    <m/>
    <s v="4250155917"/>
  </r>
  <r>
    <s v="E2C1136509"/>
    <d v="2017-04-06T00:00:00"/>
    <s v="22C0320730"/>
    <x v="144"/>
    <x v="0"/>
    <x v="2"/>
    <n v="7353"/>
    <n v="7353"/>
    <n v="0"/>
    <n v="0"/>
    <n v="0"/>
    <n v="0"/>
    <n v="0"/>
    <n v="0"/>
    <n v="24"/>
    <s v="30 Days"/>
    <d v="2017-04-30T00:00:00"/>
    <s v="AI"/>
    <m/>
    <m/>
    <m/>
    <m/>
    <m/>
    <m/>
    <s v="417470475"/>
  </r>
  <r>
    <s v="E2C1138104"/>
    <d v="2017-04-11T00:00:00"/>
    <s v="22C0320809"/>
    <x v="101"/>
    <x v="0"/>
    <x v="26"/>
    <n v="7356"/>
    <n v="7356"/>
    <n v="0"/>
    <n v="0"/>
    <n v="0"/>
    <n v="0"/>
    <n v="0"/>
    <n v="0"/>
    <n v="19"/>
    <s v="30 Days"/>
    <d v="2017-04-30T00:00:00"/>
    <s v="AI"/>
    <m/>
    <m/>
    <m/>
    <m/>
    <m/>
    <m/>
    <s v="419166626"/>
  </r>
  <r>
    <s v="E2C1135343"/>
    <d v="2017-04-03T00:00:00"/>
    <s v="22C0319437"/>
    <x v="140"/>
    <x v="0"/>
    <x v="29"/>
    <n v="7360"/>
    <n v="7360"/>
    <n v="0"/>
    <n v="0"/>
    <n v="0"/>
    <n v="0"/>
    <n v="0"/>
    <n v="0"/>
    <n v="27"/>
    <s v="30 Days"/>
    <d v="2017-04-30T00:00:00"/>
    <s v="AI"/>
    <n v="111.58"/>
    <s v="USD"/>
    <m/>
    <s v="EDI - Sent"/>
    <d v="2017-04-03T00:00:00"/>
    <s v="EDI successfully sent"/>
    <s v="4831171991"/>
  </r>
  <r>
    <s v="E2C1136097"/>
    <d v="2017-04-05T00:00:00"/>
    <s v="22C0320488"/>
    <x v="54"/>
    <x v="0"/>
    <x v="2"/>
    <n v="7368"/>
    <n v="7368"/>
    <n v="0"/>
    <n v="0"/>
    <n v="0"/>
    <n v="0"/>
    <n v="0"/>
    <n v="0"/>
    <n v="25"/>
    <s v="30 Days"/>
    <d v="2017-04-30T00:00:00"/>
    <s v="AI"/>
    <m/>
    <m/>
    <m/>
    <m/>
    <m/>
    <m/>
    <s v="4560219184"/>
  </r>
  <r>
    <s v="E2C1132480"/>
    <d v="2017-03-28T00:00:00"/>
    <s v="22C0318399"/>
    <x v="7"/>
    <x v="0"/>
    <x v="4"/>
    <n v="7385"/>
    <n v="0"/>
    <n v="7385"/>
    <n v="0"/>
    <n v="0"/>
    <n v="0"/>
    <n v="0"/>
    <n v="0"/>
    <n v="33"/>
    <s v="31 TO 45 Days"/>
    <d v="2017-04-30T00:00:00"/>
    <s v="AI"/>
    <m/>
    <m/>
    <m/>
    <s v="EDI - Sent"/>
    <d v="2017-03-28T00:00:00"/>
    <s v="EDI successfully sent"/>
    <s v="4210172083"/>
  </r>
  <r>
    <s v="E2C1098607"/>
    <d v="2016-12-24T00:00:00"/>
    <s v="22C0308464"/>
    <x v="7"/>
    <x v="0"/>
    <x v="4"/>
    <n v="7388"/>
    <n v="0"/>
    <n v="0"/>
    <n v="0"/>
    <n v="0"/>
    <n v="0"/>
    <n v="7388"/>
    <n v="7388"/>
    <n v="127"/>
    <s v="Plus120Days"/>
    <d v="2017-04-30T00:00:00"/>
    <s v="AI"/>
    <m/>
    <m/>
    <m/>
    <s v="EDI - Sent"/>
    <m/>
    <m/>
    <s v="4711216231"/>
  </r>
  <r>
    <s v="E2C1130569"/>
    <d v="2017-03-23T00:00:00"/>
    <s v="22C0318245"/>
    <x v="140"/>
    <x v="0"/>
    <x v="29"/>
    <n v="7390"/>
    <n v="0"/>
    <n v="7390"/>
    <n v="0"/>
    <n v="0"/>
    <n v="0"/>
    <n v="0"/>
    <n v="0"/>
    <n v="38"/>
    <s v="31 TO 45 Days"/>
    <d v="2017-04-30T00:00:00"/>
    <s v="AI"/>
    <n v="110.98"/>
    <s v="USD"/>
    <m/>
    <s v="EDI - Sent"/>
    <d v="2017-03-24T00:00:00"/>
    <s v="EDI successfully sent"/>
    <s v="4831171345"/>
  </r>
  <r>
    <s v="E2C1131267"/>
    <d v="2017-03-24T00:00:00"/>
    <s v="22C0318508"/>
    <x v="140"/>
    <x v="0"/>
    <x v="29"/>
    <n v="7390"/>
    <n v="0"/>
    <n v="7390"/>
    <n v="0"/>
    <n v="0"/>
    <n v="0"/>
    <n v="0"/>
    <n v="0"/>
    <n v="37"/>
    <s v="31 TO 45 Days"/>
    <d v="2017-04-30T00:00:00"/>
    <s v="AI"/>
    <n v="110.98"/>
    <s v="USD"/>
    <m/>
    <s v="EDI - Sent"/>
    <d v="2017-03-25T00:00:00"/>
    <s v="EDI successfully sent"/>
    <s v="AF00037998"/>
  </r>
  <r>
    <s v="E2C1129095"/>
    <d v="2017-03-20T00:00:00"/>
    <s v="22C0317649"/>
    <x v="140"/>
    <x v="0"/>
    <x v="29"/>
    <n v="7393"/>
    <n v="0"/>
    <n v="7393"/>
    <n v="0"/>
    <n v="0"/>
    <n v="0"/>
    <n v="0"/>
    <n v="0"/>
    <n v="41"/>
    <s v="31 TO 45 Days"/>
    <d v="2017-04-30T00:00:00"/>
    <s v="AI"/>
    <n v="110.98"/>
    <s v="USD"/>
    <m/>
    <s v="EDI - Sent"/>
    <d v="2017-03-20T00:00:00"/>
    <s v="EDI successfully sent"/>
    <s v="415189031"/>
  </r>
  <r>
    <s v="E2C1129133"/>
    <d v="2017-03-20T00:00:00"/>
    <s v="22C0317734"/>
    <x v="140"/>
    <x v="0"/>
    <x v="29"/>
    <n v="7393"/>
    <n v="0"/>
    <n v="7393"/>
    <n v="0"/>
    <n v="0"/>
    <n v="0"/>
    <n v="0"/>
    <n v="0"/>
    <n v="41"/>
    <s v="31 TO 45 Days"/>
    <d v="2017-04-30T00:00:00"/>
    <s v="AI"/>
    <n v="110.98"/>
    <s v="USD"/>
    <m/>
    <s v="EDI - Sent"/>
    <d v="2017-03-20T00:00:00"/>
    <s v="EDI successfully sent"/>
    <s v="410387448"/>
  </r>
  <r>
    <s v="E2C1139346"/>
    <d v="2017-04-13T00:00:00"/>
    <s v="22C0321171"/>
    <x v="140"/>
    <x v="0"/>
    <x v="29"/>
    <n v="7408"/>
    <n v="7408"/>
    <n v="0"/>
    <n v="0"/>
    <n v="0"/>
    <n v="0"/>
    <n v="0"/>
    <n v="0"/>
    <n v="17"/>
    <s v="30 Days"/>
    <d v="2017-04-30T00:00:00"/>
    <s v="AI"/>
    <n v="112.91"/>
    <s v="USD"/>
    <m/>
    <s v="EDI - Sent"/>
    <d v="2017-04-13T00:00:00"/>
    <s v="EDI successfully sent"/>
    <s v="AF00038601"/>
  </r>
  <r>
    <s v="E2C1134188"/>
    <d v="2017-03-31T00:00:00"/>
    <s v="22C0319637"/>
    <x v="69"/>
    <x v="0"/>
    <x v="2"/>
    <n v="7426"/>
    <n v="7426"/>
    <n v="0"/>
    <n v="0"/>
    <n v="0"/>
    <n v="0"/>
    <n v="0"/>
    <n v="0"/>
    <n v="30"/>
    <s v="30 Days"/>
    <d v="2017-04-30T00:00:00"/>
    <s v="AI"/>
    <m/>
    <m/>
    <m/>
    <m/>
    <m/>
    <m/>
    <s v="4400190125"/>
  </r>
  <r>
    <s v="E2C1117793"/>
    <d v="2017-02-16T00:00:00"/>
    <s v="22C0314451"/>
    <x v="69"/>
    <x v="0"/>
    <x v="2"/>
    <n v="7434"/>
    <n v="0"/>
    <n v="0"/>
    <n v="0"/>
    <n v="7434"/>
    <n v="0"/>
    <n v="0"/>
    <n v="7434"/>
    <n v="73"/>
    <s v="61 To 90 Days"/>
    <d v="2017-04-30T00:00:00"/>
    <s v="AI"/>
    <m/>
    <m/>
    <m/>
    <m/>
    <m/>
    <m/>
    <s v="410290360"/>
  </r>
  <r>
    <s v="E2C1123731"/>
    <d v="2017-03-04T00:00:00"/>
    <s v="22C0316251"/>
    <x v="7"/>
    <x v="0"/>
    <x v="4"/>
    <n v="7446"/>
    <n v="0"/>
    <n v="0"/>
    <n v="7446"/>
    <n v="0"/>
    <n v="0"/>
    <n v="0"/>
    <n v="0"/>
    <n v="57"/>
    <s v="46 To 60 Days"/>
    <d v="2017-04-30T00:00:00"/>
    <s v="AI"/>
    <m/>
    <m/>
    <m/>
    <s v="EDI - Sent"/>
    <d v="2017-03-06T00:00:00"/>
    <s v="EDI successfully sent"/>
    <s v="4750387459"/>
  </r>
  <r>
    <s v="E2C1131027"/>
    <d v="2017-03-24T00:00:00"/>
    <s v="22C0318410"/>
    <x v="10"/>
    <x v="0"/>
    <x v="5"/>
    <n v="7458"/>
    <n v="0"/>
    <n v="7458"/>
    <n v="0"/>
    <n v="0"/>
    <n v="0"/>
    <n v="0"/>
    <n v="0"/>
    <n v="37"/>
    <s v="31 TO 45 Days"/>
    <d v="2017-04-30T00:00:00"/>
    <s v="AI"/>
    <m/>
    <m/>
    <m/>
    <m/>
    <m/>
    <m/>
    <s v="4912898864"/>
  </r>
  <r>
    <s v="E2C1113616"/>
    <d v="2017-02-02T00:00:00"/>
    <s v="22C0312954"/>
    <x v="7"/>
    <x v="0"/>
    <x v="4"/>
    <n v="7467"/>
    <n v="0"/>
    <n v="0"/>
    <n v="0"/>
    <n v="7467"/>
    <n v="0"/>
    <n v="0"/>
    <n v="7467"/>
    <n v="87"/>
    <s v="61 To 90 Days"/>
    <d v="2017-04-30T00:00:00"/>
    <s v="AI"/>
    <m/>
    <m/>
    <m/>
    <s v="EDI - Sent"/>
    <d v="2017-02-02T00:00:00"/>
    <s v="EDI successfully sent"/>
    <s v="4711225269"/>
  </r>
  <r>
    <s v="E2C1122785"/>
    <d v="2017-03-01T00:00:00"/>
    <s v="22C0315939"/>
    <x v="1"/>
    <x v="0"/>
    <x v="1"/>
    <n v="7476"/>
    <n v="0"/>
    <n v="0"/>
    <n v="7476"/>
    <n v="0"/>
    <n v="0"/>
    <n v="0"/>
    <n v="0"/>
    <n v="60"/>
    <s v="46 To 60 Days"/>
    <d v="2017-04-30T00:00:00"/>
    <s v="AI"/>
    <m/>
    <m/>
    <m/>
    <m/>
    <m/>
    <m/>
    <s v="4750387300"/>
  </r>
  <r>
    <s v="E2C1137521"/>
    <d v="2017-04-10T00:00:00"/>
    <s v="22C0321144"/>
    <x v="145"/>
    <x v="0"/>
    <x v="2"/>
    <n v="7476"/>
    <n v="7476"/>
    <n v="0"/>
    <n v="0"/>
    <n v="0"/>
    <n v="0"/>
    <n v="0"/>
    <n v="0"/>
    <n v="20"/>
    <s v="30 Days"/>
    <d v="2017-04-30T00:00:00"/>
    <s v="AI"/>
    <m/>
    <m/>
    <m/>
    <m/>
    <m/>
    <m/>
    <s v="419166724"/>
  </r>
  <r>
    <s v="E2C1134841"/>
    <d v="2017-04-01T00:00:00"/>
    <s v="22C0319840"/>
    <x v="146"/>
    <x v="0"/>
    <x v="30"/>
    <n v="7497"/>
    <n v="7497"/>
    <n v="0"/>
    <n v="0"/>
    <n v="0"/>
    <n v="0"/>
    <n v="0"/>
    <n v="0"/>
    <n v="29"/>
    <s v="30 Days"/>
    <d v="2017-04-30T00:00:00"/>
    <s v="AI"/>
    <m/>
    <m/>
    <m/>
    <m/>
    <m/>
    <m/>
    <s v="4750389290"/>
  </r>
  <r>
    <s v="E2C1128530"/>
    <d v="2017-03-18T00:00:00"/>
    <s v="22C0317773"/>
    <x v="146"/>
    <x v="0"/>
    <x v="30"/>
    <n v="7505"/>
    <n v="0"/>
    <n v="7505"/>
    <n v="0"/>
    <n v="0"/>
    <n v="0"/>
    <n v="0"/>
    <n v="0"/>
    <n v="43"/>
    <s v="31 TO 45 Days"/>
    <d v="2017-04-30T00:00:00"/>
    <s v="AI"/>
    <m/>
    <m/>
    <m/>
    <m/>
    <m/>
    <m/>
    <s v="4750388224"/>
  </r>
  <r>
    <s v="E2C1128531"/>
    <d v="2017-03-18T00:00:00"/>
    <s v="22C0317774"/>
    <x v="146"/>
    <x v="0"/>
    <x v="30"/>
    <n v="7505"/>
    <n v="0"/>
    <n v="7505"/>
    <n v="0"/>
    <n v="0"/>
    <n v="0"/>
    <n v="0"/>
    <n v="0"/>
    <n v="43"/>
    <s v="31 TO 45 Days"/>
    <d v="2017-04-30T00:00:00"/>
    <s v="AI"/>
    <m/>
    <m/>
    <m/>
    <m/>
    <m/>
    <m/>
    <s v="4750388225"/>
  </r>
  <r>
    <s v="E2C1128534"/>
    <d v="2017-03-18T00:00:00"/>
    <s v="22C0317973"/>
    <x v="146"/>
    <x v="0"/>
    <x v="30"/>
    <n v="7505"/>
    <n v="0"/>
    <n v="7505"/>
    <n v="0"/>
    <n v="0"/>
    <n v="0"/>
    <n v="0"/>
    <n v="0"/>
    <n v="43"/>
    <s v="31 TO 45 Days"/>
    <d v="2017-04-30T00:00:00"/>
    <s v="AI"/>
    <m/>
    <m/>
    <m/>
    <m/>
    <m/>
    <m/>
    <s v="4750388399"/>
  </r>
  <r>
    <s v="E2C1128535"/>
    <d v="2017-03-18T00:00:00"/>
    <s v="22C0317974"/>
    <x v="146"/>
    <x v="0"/>
    <x v="30"/>
    <n v="7505"/>
    <n v="0"/>
    <n v="7505"/>
    <n v="0"/>
    <n v="0"/>
    <n v="0"/>
    <n v="0"/>
    <n v="0"/>
    <n v="43"/>
    <s v="31 TO 45 Days"/>
    <d v="2017-04-30T00:00:00"/>
    <s v="AI"/>
    <m/>
    <m/>
    <m/>
    <m/>
    <m/>
    <m/>
    <s v="4750388400"/>
  </r>
  <r>
    <s v="E2C1121865"/>
    <d v="2017-02-28T00:00:00"/>
    <s v="22C0315512"/>
    <x v="7"/>
    <x v="0"/>
    <x v="4"/>
    <n v="7514"/>
    <n v="0"/>
    <n v="0"/>
    <n v="0"/>
    <n v="7514"/>
    <n v="0"/>
    <n v="0"/>
    <n v="7514"/>
    <n v="61"/>
    <s v="61 To 90 Days"/>
    <d v="2017-04-30T00:00:00"/>
    <s v="AI"/>
    <m/>
    <m/>
    <m/>
    <s v="EDI - Sent"/>
    <d v="2017-03-02T00:00:00"/>
    <s v="EDI successfully sent"/>
    <s v="4210171570"/>
  </r>
  <r>
    <s v="E2C1120697"/>
    <d v="2017-02-25T00:00:00"/>
    <s v="22C0314168"/>
    <x v="7"/>
    <x v="0"/>
    <x v="4"/>
    <n v="7526"/>
    <n v="0"/>
    <n v="0"/>
    <n v="0"/>
    <n v="7526"/>
    <n v="0"/>
    <n v="0"/>
    <n v="7526"/>
    <n v="64"/>
    <s v="61 To 90 Days"/>
    <d v="2017-04-30T00:00:00"/>
    <s v="AI"/>
    <m/>
    <m/>
    <m/>
    <s v="EDI - Sent"/>
    <d v="2017-03-02T00:00:00"/>
    <s v="EDI successfully sent"/>
    <s v="4210171357"/>
  </r>
  <r>
    <s v="E2C1120701"/>
    <d v="2017-02-25T00:00:00"/>
    <s v="22C0314201"/>
    <x v="7"/>
    <x v="0"/>
    <x v="4"/>
    <n v="7526"/>
    <n v="0"/>
    <n v="0"/>
    <n v="0"/>
    <n v="7526"/>
    <n v="0"/>
    <n v="0"/>
    <n v="7526"/>
    <n v="64"/>
    <s v="61 To 90 Days"/>
    <d v="2017-04-30T00:00:00"/>
    <s v="AI"/>
    <m/>
    <m/>
    <m/>
    <s v="EDI - Sent"/>
    <d v="2017-03-02T00:00:00"/>
    <s v="EDI successfully sent"/>
    <s v="4210171402"/>
  </r>
  <r>
    <s v="E2C1126289"/>
    <d v="2017-03-14T00:00:00"/>
    <s v="22C0317354"/>
    <x v="147"/>
    <x v="0"/>
    <x v="2"/>
    <n v="7528"/>
    <n v="0"/>
    <n v="0"/>
    <n v="7528"/>
    <n v="0"/>
    <n v="0"/>
    <n v="0"/>
    <n v="0"/>
    <n v="47"/>
    <s v="46 To 60 Days"/>
    <d v="2017-04-30T00:00:00"/>
    <s v="AI"/>
    <m/>
    <m/>
    <m/>
    <m/>
    <m/>
    <m/>
    <s v="4480469015"/>
  </r>
  <r>
    <s v="E2C1120483"/>
    <d v="2017-02-24T00:00:00"/>
    <s v="22C0314880"/>
    <x v="69"/>
    <x v="0"/>
    <x v="2"/>
    <n v="7536"/>
    <n v="0"/>
    <n v="0"/>
    <n v="0"/>
    <n v="7536"/>
    <n v="0"/>
    <n v="0"/>
    <n v="7536"/>
    <n v="65"/>
    <s v="61 To 90 Days"/>
    <d v="2017-04-30T00:00:00"/>
    <s v="AI"/>
    <m/>
    <m/>
    <m/>
    <m/>
    <m/>
    <m/>
    <s v="4400188289"/>
  </r>
  <r>
    <s v="E2C1102739"/>
    <d v="2017-01-03T00:00:00"/>
    <s v="22C0309746"/>
    <x v="7"/>
    <x v="0"/>
    <x v="4"/>
    <n v="7538"/>
    <n v="0"/>
    <n v="0"/>
    <n v="0"/>
    <n v="0"/>
    <n v="7538"/>
    <n v="0"/>
    <n v="7538"/>
    <n v="117"/>
    <s v="91 To 120 Days"/>
    <d v="2017-04-30T00:00:00"/>
    <s v="AI"/>
    <m/>
    <m/>
    <m/>
    <s v="EDI - Sent"/>
    <m/>
    <m/>
    <s v="4210170555"/>
  </r>
  <r>
    <s v="E2C1132388"/>
    <d v="2017-03-28T00:00:00"/>
    <s v="22C0318963"/>
    <x v="146"/>
    <x v="0"/>
    <x v="30"/>
    <n v="7539"/>
    <n v="0"/>
    <n v="7539"/>
    <n v="0"/>
    <n v="0"/>
    <n v="0"/>
    <n v="0"/>
    <n v="0"/>
    <n v="33"/>
    <s v="31 TO 45 Days"/>
    <d v="2017-04-30T00:00:00"/>
    <s v="AI"/>
    <m/>
    <m/>
    <m/>
    <m/>
    <m/>
    <m/>
    <s v="4750388966"/>
  </r>
  <r>
    <s v="E2C1132390"/>
    <d v="2017-03-28T00:00:00"/>
    <s v="22C0318964"/>
    <x v="146"/>
    <x v="0"/>
    <x v="30"/>
    <n v="7539"/>
    <n v="0"/>
    <n v="7539"/>
    <n v="0"/>
    <n v="0"/>
    <n v="0"/>
    <n v="0"/>
    <n v="0"/>
    <n v="33"/>
    <s v="31 TO 45 Days"/>
    <d v="2017-04-30T00:00:00"/>
    <s v="AI"/>
    <m/>
    <m/>
    <m/>
    <m/>
    <m/>
    <m/>
    <s v="4750388967"/>
  </r>
  <r>
    <s v="E2C1098618"/>
    <d v="2016-12-24T00:00:00"/>
    <s v="22C0308298"/>
    <x v="7"/>
    <x v="0"/>
    <x v="4"/>
    <n v="7546"/>
    <n v="0"/>
    <n v="0"/>
    <n v="0"/>
    <n v="0"/>
    <n v="0"/>
    <n v="7546"/>
    <n v="7546"/>
    <n v="127"/>
    <s v="Plus120Days"/>
    <d v="2017-04-30T00:00:00"/>
    <s v="AI"/>
    <m/>
    <m/>
    <m/>
    <s v="EDI - Sent"/>
    <m/>
    <m/>
    <s v="4750383009"/>
  </r>
  <r>
    <s v="E2C1099805"/>
    <d v="2016-12-28T00:00:00"/>
    <s v="22C0308871"/>
    <x v="7"/>
    <x v="0"/>
    <x v="4"/>
    <n v="7548"/>
    <n v="0"/>
    <n v="0"/>
    <n v="0"/>
    <n v="0"/>
    <n v="0"/>
    <n v="7548"/>
    <n v="7548"/>
    <n v="123"/>
    <s v="Plus120Days"/>
    <d v="2017-04-30T00:00:00"/>
    <s v="AI"/>
    <m/>
    <m/>
    <m/>
    <s v="EDI - Sent"/>
    <m/>
    <m/>
    <s v="4210170434"/>
  </r>
  <r>
    <s v="E2C1120208"/>
    <d v="2017-02-23T00:00:00"/>
    <s v="22C0314847"/>
    <x v="140"/>
    <x v="0"/>
    <x v="29"/>
    <n v="7557"/>
    <n v="0"/>
    <n v="0"/>
    <n v="0"/>
    <n v="7557"/>
    <n v="0"/>
    <n v="0"/>
    <n v="7557"/>
    <n v="66"/>
    <s v="61 To 90 Days"/>
    <d v="2017-04-30T00:00:00"/>
    <s v="AI"/>
    <n v="110.98"/>
    <s v="USD"/>
    <m/>
    <s v="EDI - Sent"/>
    <d v="2017-02-24T00:00:00"/>
    <s v="EDI successfully sent"/>
    <s v="417747765"/>
  </r>
  <r>
    <s v="E2C1114336"/>
    <d v="2017-02-04T00:00:00"/>
    <s v="22C0313010"/>
    <x v="7"/>
    <x v="0"/>
    <x v="4"/>
    <n v="7574"/>
    <n v="0"/>
    <n v="0"/>
    <n v="0"/>
    <n v="7574"/>
    <n v="0"/>
    <n v="0"/>
    <n v="7574"/>
    <n v="85"/>
    <s v="61 To 90 Days"/>
    <d v="2017-04-30T00:00:00"/>
    <s v="AI"/>
    <m/>
    <m/>
    <m/>
    <s v="EDI - Sent"/>
    <d v="2017-02-06T00:00:00"/>
    <s v="EDI successfully sent"/>
    <s v="4210171104"/>
  </r>
  <r>
    <s v="E2C1118654"/>
    <d v="2017-02-18T00:00:00"/>
    <s v="22C0313605"/>
    <x v="1"/>
    <x v="0"/>
    <x v="1"/>
    <n v="7583"/>
    <n v="0"/>
    <n v="0"/>
    <n v="0"/>
    <n v="7583"/>
    <n v="0"/>
    <n v="0"/>
    <n v="7583"/>
    <n v="71"/>
    <s v="61 To 90 Days"/>
    <d v="2017-04-30T00:00:00"/>
    <s v="AI"/>
    <m/>
    <m/>
    <m/>
    <m/>
    <m/>
    <m/>
    <s v="4750385748"/>
  </r>
  <r>
    <s v="E2C1119294"/>
    <d v="2017-02-21T00:00:00"/>
    <s v="22C0314936"/>
    <x v="54"/>
    <x v="0"/>
    <x v="2"/>
    <n v="7584"/>
    <n v="0"/>
    <n v="0"/>
    <n v="0"/>
    <n v="7584"/>
    <n v="0"/>
    <n v="0"/>
    <n v="7584"/>
    <n v="68"/>
    <s v="61 To 90 Days"/>
    <d v="2017-04-30T00:00:00"/>
    <s v="AI"/>
    <m/>
    <m/>
    <m/>
    <m/>
    <m/>
    <m/>
    <s v="4560217534"/>
  </r>
  <r>
    <s v="E2C1121470"/>
    <d v="2017-02-27T00:00:00"/>
    <s v="22C0315711"/>
    <x v="54"/>
    <x v="0"/>
    <x v="2"/>
    <n v="7584"/>
    <n v="0"/>
    <n v="0"/>
    <n v="0"/>
    <n v="7584"/>
    <n v="0"/>
    <n v="0"/>
    <n v="7584"/>
    <n v="62"/>
    <s v="61 To 90 Days"/>
    <d v="2017-04-30T00:00:00"/>
    <s v="AI"/>
    <m/>
    <m/>
    <m/>
    <m/>
    <m/>
    <m/>
    <s v="4560217788"/>
  </r>
  <r>
    <s v="E2C1125678"/>
    <d v="2017-03-10T00:00:00"/>
    <s v="22C0316652"/>
    <x v="36"/>
    <x v="0"/>
    <x v="2"/>
    <n v="7585"/>
    <n v="0"/>
    <n v="0"/>
    <n v="7585"/>
    <n v="0"/>
    <n v="0"/>
    <n v="0"/>
    <n v="0"/>
    <n v="51"/>
    <s v="46 To 60 Days"/>
    <d v="2017-04-30T00:00:00"/>
    <s v="AI"/>
    <m/>
    <m/>
    <m/>
    <m/>
    <m/>
    <m/>
    <s v="4711233960"/>
  </r>
  <r>
    <s v="E2C1122843"/>
    <d v="2017-03-01T00:00:00"/>
    <s v="22C0314213"/>
    <x v="67"/>
    <x v="0"/>
    <x v="17"/>
    <n v="7586"/>
    <n v="0"/>
    <n v="0"/>
    <n v="7586"/>
    <n v="0"/>
    <n v="0"/>
    <n v="0"/>
    <n v="0"/>
    <n v="60"/>
    <s v="46 To 60 Days"/>
    <d v="2017-04-30T00:00:00"/>
    <s v="AI"/>
    <m/>
    <m/>
    <m/>
    <m/>
    <m/>
    <m/>
    <s v="417268072"/>
  </r>
  <r>
    <s v="E2C1114460"/>
    <d v="2017-02-06T00:00:00"/>
    <s v="22C0313195"/>
    <x v="70"/>
    <x v="0"/>
    <x v="7"/>
    <n v="7589"/>
    <n v="0"/>
    <n v="0"/>
    <n v="0"/>
    <n v="7589"/>
    <n v="0"/>
    <n v="0"/>
    <n v="7589"/>
    <n v="83"/>
    <s v="61 To 90 Days"/>
    <d v="2017-04-30T00:00:00"/>
    <s v="AI"/>
    <m/>
    <m/>
    <m/>
    <m/>
    <m/>
    <m/>
    <s v="4041690217"/>
  </r>
  <r>
    <s v="E2C1137517"/>
    <d v="2017-04-10T00:00:00"/>
    <s v="22C0321106"/>
    <x v="148"/>
    <x v="0"/>
    <x v="15"/>
    <n v="7599"/>
    <n v="7599"/>
    <n v="0"/>
    <n v="0"/>
    <n v="0"/>
    <n v="0"/>
    <n v="0"/>
    <n v="0"/>
    <n v="20"/>
    <s v="30 Days"/>
    <d v="2017-04-30T00:00:00"/>
    <s v="AI"/>
    <m/>
    <m/>
    <m/>
    <m/>
    <m/>
    <m/>
    <s v="42J0204672"/>
  </r>
  <r>
    <s v="E2C1132481"/>
    <d v="2017-03-28T00:00:00"/>
    <s v="22C0318400"/>
    <x v="7"/>
    <x v="0"/>
    <x v="4"/>
    <n v="7601"/>
    <n v="0"/>
    <n v="7601"/>
    <n v="0"/>
    <n v="0"/>
    <n v="0"/>
    <n v="0"/>
    <n v="0"/>
    <n v="33"/>
    <s v="31 TO 45 Days"/>
    <d v="2017-04-30T00:00:00"/>
    <s v="AI"/>
    <m/>
    <m/>
    <m/>
    <s v="EDI - Sent"/>
    <d v="2017-03-28T00:00:00"/>
    <s v="EDI successfully sent"/>
    <s v="4210172085"/>
  </r>
  <r>
    <s v="E2C1130202"/>
    <d v="2017-03-22T00:00:00"/>
    <s v="22C0318300"/>
    <x v="54"/>
    <x v="0"/>
    <x v="2"/>
    <n v="7605"/>
    <n v="0"/>
    <n v="7605"/>
    <n v="0"/>
    <n v="0"/>
    <n v="0"/>
    <n v="0"/>
    <n v="0"/>
    <n v="39"/>
    <s v="31 TO 45 Days"/>
    <d v="2017-04-30T00:00:00"/>
    <s v="AI"/>
    <m/>
    <m/>
    <m/>
    <m/>
    <m/>
    <m/>
    <s v="4570270279"/>
  </r>
  <r>
    <s v="E2C1120715"/>
    <d v="2017-02-25T00:00:00"/>
    <s v="22C0314237"/>
    <x v="7"/>
    <x v="0"/>
    <x v="4"/>
    <n v="7605"/>
    <n v="0"/>
    <n v="0"/>
    <n v="0"/>
    <n v="7605"/>
    <n v="0"/>
    <n v="0"/>
    <n v="7605"/>
    <n v="64"/>
    <s v="61 To 90 Days"/>
    <d v="2017-04-30T00:00:00"/>
    <s v="AI"/>
    <m/>
    <m/>
    <m/>
    <s v="EDI - Sent"/>
    <d v="2017-03-02T00:00:00"/>
    <s v="EDI successfully sent"/>
    <s v="4071585754"/>
  </r>
  <r>
    <s v="E2C1114846"/>
    <d v="2017-02-07T00:00:00"/>
    <s v="22C0313337"/>
    <x v="69"/>
    <x v="0"/>
    <x v="2"/>
    <n v="7609"/>
    <n v="0"/>
    <n v="0"/>
    <n v="0"/>
    <n v="7609"/>
    <n v="0"/>
    <n v="0"/>
    <n v="7609"/>
    <n v="82"/>
    <s v="61 To 90 Days"/>
    <d v="2017-04-30T00:00:00"/>
    <s v="AI"/>
    <m/>
    <m/>
    <m/>
    <m/>
    <m/>
    <m/>
    <s v="4400187554"/>
  </r>
  <r>
    <s v="E2C1128704"/>
    <d v="2017-03-20T00:00:00"/>
    <s v="22C0316382"/>
    <x v="1"/>
    <x v="0"/>
    <x v="1"/>
    <n v="7620"/>
    <n v="0"/>
    <n v="7620"/>
    <n v="0"/>
    <n v="0"/>
    <n v="0"/>
    <n v="0"/>
    <n v="0"/>
    <n v="41"/>
    <s v="31 TO 45 Days"/>
    <d v="2017-04-30T00:00:00"/>
    <s v="AI"/>
    <m/>
    <m/>
    <m/>
    <m/>
    <m/>
    <m/>
    <s v="4750387434"/>
  </r>
  <r>
    <s v="E2C1116387"/>
    <d v="2017-02-10T00:00:00"/>
    <s v="22C0313714"/>
    <x v="54"/>
    <x v="0"/>
    <x v="2"/>
    <n v="7625"/>
    <n v="0"/>
    <n v="0"/>
    <n v="0"/>
    <n v="7625"/>
    <n v="0"/>
    <n v="0"/>
    <n v="7625"/>
    <n v="79"/>
    <s v="61 To 90 Days"/>
    <d v="2017-04-30T00:00:00"/>
    <s v="AI"/>
    <m/>
    <m/>
    <m/>
    <m/>
    <m/>
    <m/>
    <s v="4560217253"/>
  </r>
  <r>
    <s v="E2C1053036"/>
    <d v="2016-08-17T00:00:00"/>
    <s v="22C0295415"/>
    <x v="77"/>
    <x v="0"/>
    <x v="24"/>
    <n v="7648"/>
    <n v="0"/>
    <n v="0"/>
    <n v="0"/>
    <n v="0"/>
    <n v="0"/>
    <n v="7648"/>
    <n v="7648"/>
    <n v="256"/>
    <s v="Plus120Days"/>
    <d v="2017-04-30T00:00:00"/>
    <s v="AI"/>
    <m/>
    <m/>
    <m/>
    <m/>
    <m/>
    <m/>
    <s v="4600150204"/>
  </r>
  <r>
    <s v="E2C1105678"/>
    <d v="2017-01-12T00:00:00"/>
    <s v="22C0309994"/>
    <x v="1"/>
    <x v="0"/>
    <x v="1"/>
    <n v="7649"/>
    <n v="0"/>
    <n v="0"/>
    <n v="0"/>
    <n v="0"/>
    <n v="7649"/>
    <n v="0"/>
    <n v="7649"/>
    <n v="108"/>
    <s v="91 To 120 Days"/>
    <d v="2017-04-30T00:00:00"/>
    <s v="AI"/>
    <m/>
    <m/>
    <m/>
    <m/>
    <m/>
    <m/>
    <s v="4540129090"/>
  </r>
  <r>
    <s v="E2C1118744"/>
    <d v="2017-02-18T00:00:00"/>
    <s v="22C0314844"/>
    <x v="78"/>
    <x v="0"/>
    <x v="1"/>
    <n v="7687"/>
    <n v="0"/>
    <n v="0"/>
    <n v="0"/>
    <n v="7687"/>
    <n v="0"/>
    <n v="0"/>
    <n v="7687"/>
    <n v="71"/>
    <s v="61 To 90 Days"/>
    <d v="2017-04-30T00:00:00"/>
    <s v="AI"/>
    <m/>
    <m/>
    <m/>
    <m/>
    <m/>
    <m/>
    <s v="4930434616"/>
  </r>
  <r>
    <s v="E2C1139450"/>
    <d v="2017-04-13T00:00:00"/>
    <s v="22C0321351"/>
    <x v="121"/>
    <x v="0"/>
    <x v="2"/>
    <n v="7708"/>
    <n v="7708"/>
    <n v="0"/>
    <n v="0"/>
    <n v="0"/>
    <n v="0"/>
    <n v="0"/>
    <n v="0"/>
    <n v="17"/>
    <s v="30 Days"/>
    <d v="2017-04-30T00:00:00"/>
    <s v="AI"/>
    <m/>
    <m/>
    <m/>
    <m/>
    <m/>
    <m/>
    <s v="4812079809"/>
  </r>
  <r>
    <s v="E2C1111272"/>
    <d v="2017-01-28T00:00:00"/>
    <s v="22C0311991"/>
    <x v="28"/>
    <x v="0"/>
    <x v="17"/>
    <n v="7733"/>
    <n v="0"/>
    <n v="0"/>
    <n v="0"/>
    <n v="0"/>
    <n v="7733"/>
    <n v="0"/>
    <n v="7733"/>
    <n v="92"/>
    <s v="91 To 120 Days"/>
    <d v="2017-04-30T00:00:00"/>
    <s v="AI"/>
    <m/>
    <m/>
    <m/>
    <m/>
    <m/>
    <m/>
    <s v="4600156008"/>
  </r>
  <r>
    <s v="E2C1118141"/>
    <d v="2017-02-17T00:00:00"/>
    <s v="22C0314596"/>
    <x v="78"/>
    <x v="0"/>
    <x v="1"/>
    <n v="7738"/>
    <n v="0"/>
    <n v="0"/>
    <n v="0"/>
    <n v="7738"/>
    <n v="0"/>
    <n v="0"/>
    <n v="7738"/>
    <n v="72"/>
    <s v="61 To 90 Days"/>
    <d v="2017-04-30T00:00:00"/>
    <s v="AI"/>
    <m/>
    <m/>
    <m/>
    <m/>
    <m/>
    <m/>
    <s v="4930434321"/>
  </r>
  <r>
    <s v="E2C1132335"/>
    <d v="2017-03-28T00:00:00"/>
    <s v="22C0317501"/>
    <x v="54"/>
    <x v="0"/>
    <x v="2"/>
    <n v="7739"/>
    <n v="0"/>
    <n v="7739"/>
    <n v="0"/>
    <n v="0"/>
    <n v="0"/>
    <n v="0"/>
    <n v="0"/>
    <n v="33"/>
    <s v="31 TO 45 Days"/>
    <d v="2017-04-30T00:00:00"/>
    <s v="AI"/>
    <m/>
    <m/>
    <m/>
    <m/>
    <m/>
    <m/>
    <s v="4400189247"/>
  </r>
  <r>
    <s v="E2C1137999"/>
    <d v="2017-04-11T00:00:00"/>
    <s v="22C0321126"/>
    <x v="149"/>
    <x v="0"/>
    <x v="2"/>
    <n v="7749"/>
    <n v="7749"/>
    <n v="0"/>
    <n v="0"/>
    <n v="0"/>
    <n v="0"/>
    <n v="0"/>
    <n v="0"/>
    <n v="19"/>
    <s v="30 Days"/>
    <d v="2017-04-30T00:00:00"/>
    <s v="AI"/>
    <m/>
    <m/>
    <m/>
    <m/>
    <m/>
    <m/>
    <s v="4080253526"/>
  </r>
  <r>
    <s v="E2C1136477"/>
    <d v="2017-04-06T00:00:00"/>
    <s v="22C0320689"/>
    <x v="83"/>
    <x v="0"/>
    <x v="23"/>
    <n v="7749"/>
    <n v="7749"/>
    <n v="0"/>
    <n v="0"/>
    <n v="0"/>
    <n v="0"/>
    <n v="0"/>
    <n v="0"/>
    <n v="24"/>
    <s v="30 Days"/>
    <d v="2017-04-30T00:00:00"/>
    <s v="AI"/>
    <m/>
    <m/>
    <m/>
    <m/>
    <m/>
    <m/>
    <s v="4200122010"/>
  </r>
  <r>
    <s v="E2C1121863"/>
    <d v="2017-02-28T00:00:00"/>
    <s v="22C0314177"/>
    <x v="7"/>
    <x v="0"/>
    <x v="4"/>
    <n v="7771"/>
    <n v="0"/>
    <n v="0"/>
    <n v="0"/>
    <n v="7771"/>
    <n v="0"/>
    <n v="0"/>
    <n v="7771"/>
    <n v="61"/>
    <s v="61 To 90 Days"/>
    <d v="2017-04-30T00:00:00"/>
    <s v="AI"/>
    <m/>
    <m/>
    <m/>
    <s v="EDI - Sent"/>
    <d v="2017-03-02T00:00:00"/>
    <s v="EDI successfully sent"/>
    <s v="4210171328"/>
  </r>
  <r>
    <s v="E2C1135938"/>
    <d v="2017-04-05T00:00:00"/>
    <s v="22C0320153"/>
    <x v="150"/>
    <x v="0"/>
    <x v="2"/>
    <n v="7772"/>
    <n v="7772"/>
    <n v="0"/>
    <n v="0"/>
    <n v="0"/>
    <n v="0"/>
    <n v="0"/>
    <n v="0"/>
    <n v="25"/>
    <s v="30 Days"/>
    <d v="2017-04-30T00:00:00"/>
    <s v="AI"/>
    <m/>
    <m/>
    <m/>
    <m/>
    <m/>
    <m/>
    <s v="4100145261"/>
  </r>
  <r>
    <s v="E2C1122037"/>
    <d v="2017-02-28T00:00:00"/>
    <s v="22C0315720"/>
    <x v="22"/>
    <x v="0"/>
    <x v="14"/>
    <n v="7773"/>
    <n v="0"/>
    <n v="0"/>
    <n v="0"/>
    <n v="7773"/>
    <n v="0"/>
    <n v="0"/>
    <n v="7773"/>
    <n v="61"/>
    <s v="61 To 90 Days"/>
    <d v="2017-04-30T00:00:00"/>
    <s v="AI"/>
    <m/>
    <m/>
    <m/>
    <m/>
    <m/>
    <m/>
    <s v="423609546"/>
  </r>
  <r>
    <s v="E2C1122031"/>
    <d v="2017-02-28T00:00:00"/>
    <s v="22C0315718"/>
    <x v="22"/>
    <x v="0"/>
    <x v="14"/>
    <n v="7773"/>
    <n v="0"/>
    <n v="0"/>
    <n v="0"/>
    <n v="7773"/>
    <n v="0"/>
    <n v="0"/>
    <n v="7773"/>
    <n v="61"/>
    <s v="61 To 90 Days"/>
    <d v="2017-04-30T00:00:00"/>
    <s v="AI"/>
    <m/>
    <m/>
    <m/>
    <m/>
    <m/>
    <m/>
    <s v="423609511"/>
  </r>
  <r>
    <s v="E2C1117436"/>
    <d v="2017-02-15T00:00:00"/>
    <s v="22C0313945"/>
    <x v="20"/>
    <x v="0"/>
    <x v="2"/>
    <n v="7795"/>
    <n v="0"/>
    <n v="0"/>
    <n v="0"/>
    <n v="7795"/>
    <n v="0"/>
    <n v="0"/>
    <n v="7795"/>
    <n v="74"/>
    <s v="61 To 90 Days"/>
    <d v="2017-04-30T00:00:00"/>
    <s v="AI"/>
    <m/>
    <m/>
    <m/>
    <m/>
    <m/>
    <m/>
    <s v="4950136830"/>
  </r>
  <r>
    <s v="E2C1134740"/>
    <d v="2017-03-31T00:00:00"/>
    <s v="22C0319115"/>
    <x v="36"/>
    <x v="0"/>
    <x v="2"/>
    <n v="7796"/>
    <n v="7796"/>
    <n v="0"/>
    <n v="0"/>
    <n v="0"/>
    <n v="0"/>
    <n v="0"/>
    <n v="0"/>
    <n v="30"/>
    <s v="30 Days"/>
    <d v="2017-04-30T00:00:00"/>
    <s v="AI"/>
    <m/>
    <m/>
    <m/>
    <m/>
    <m/>
    <m/>
    <s v="4930437017"/>
  </r>
  <r>
    <s v="E2C1123791"/>
    <d v="2017-03-04T00:00:00"/>
    <s v="22C0316272"/>
    <x v="1"/>
    <x v="0"/>
    <x v="1"/>
    <n v="7800"/>
    <n v="0"/>
    <n v="0"/>
    <n v="7800"/>
    <n v="0"/>
    <n v="0"/>
    <n v="0"/>
    <n v="0"/>
    <n v="57"/>
    <s v="46 To 60 Days"/>
    <d v="2017-04-30T00:00:00"/>
    <s v="AI"/>
    <m/>
    <m/>
    <m/>
    <m/>
    <m/>
    <m/>
    <s v="4540130697"/>
  </r>
  <r>
    <s v="E2C1116122"/>
    <d v="2017-02-10T00:00:00"/>
    <s v="22C0313709"/>
    <x v="100"/>
    <x v="0"/>
    <x v="16"/>
    <n v="7807"/>
    <n v="0"/>
    <n v="0"/>
    <n v="0"/>
    <n v="7807"/>
    <n v="0"/>
    <n v="0"/>
    <n v="7807"/>
    <n v="79"/>
    <s v="61 To 90 Days"/>
    <d v="2017-04-30T00:00:00"/>
    <s v="AI"/>
    <m/>
    <m/>
    <m/>
    <m/>
    <m/>
    <m/>
    <s v="4520085779"/>
  </r>
  <r>
    <s v="E2C1125859"/>
    <d v="2017-03-10T00:00:00"/>
    <s v="22C0317128"/>
    <x v="30"/>
    <x v="0"/>
    <x v="18"/>
    <n v="7810"/>
    <n v="0"/>
    <n v="0"/>
    <n v="7810"/>
    <n v="0"/>
    <n v="0"/>
    <n v="0"/>
    <n v="0"/>
    <n v="51"/>
    <s v="46 To 60 Days"/>
    <d v="2017-04-30T00:00:00"/>
    <s v="AI"/>
    <m/>
    <m/>
    <m/>
    <m/>
    <m/>
    <m/>
    <s v="41R0000099"/>
  </r>
  <r>
    <s v="E2C1137681"/>
    <d v="2017-04-10T00:00:00"/>
    <s v="22C0319854"/>
    <x v="10"/>
    <x v="0"/>
    <x v="5"/>
    <n v="7810"/>
    <n v="7810"/>
    <n v="0"/>
    <n v="0"/>
    <n v="0"/>
    <n v="0"/>
    <n v="0"/>
    <n v="0"/>
    <n v="20"/>
    <s v="30 Days"/>
    <d v="2017-04-30T00:00:00"/>
    <s v="AI"/>
    <m/>
    <m/>
    <m/>
    <m/>
    <m/>
    <m/>
    <s v="4912905979"/>
  </r>
  <r>
    <s v="E2C1094184"/>
    <d v="2016-12-13T00:00:00"/>
    <s v="112906983"/>
    <x v="36"/>
    <x v="0"/>
    <x v="2"/>
    <n v="7816"/>
    <n v="0"/>
    <n v="0"/>
    <n v="0"/>
    <n v="0"/>
    <n v="0"/>
    <n v="7816"/>
    <n v="7816"/>
    <n v="138"/>
    <s v="Plus120Days"/>
    <d v="2017-04-30T00:00:00"/>
    <s v="AI"/>
    <m/>
    <m/>
    <m/>
    <m/>
    <m/>
    <m/>
    <s v="4770107915"/>
  </r>
  <r>
    <s v="E2C1135229"/>
    <d v="2017-04-03T00:00:00"/>
    <s v="22C0319689"/>
    <x v="51"/>
    <x v="0"/>
    <x v="3"/>
    <n v="7818"/>
    <n v="7818"/>
    <n v="0"/>
    <n v="0"/>
    <n v="0"/>
    <n v="0"/>
    <n v="0"/>
    <n v="0"/>
    <n v="27"/>
    <s v="30 Days"/>
    <d v="2017-04-30T00:00:00"/>
    <s v="AI"/>
    <m/>
    <m/>
    <m/>
    <m/>
    <m/>
    <m/>
    <s v="4190211014"/>
  </r>
  <r>
    <s v="E2C1139678"/>
    <d v="2017-04-15T00:00:00"/>
    <s v="22C0321592"/>
    <x v="151"/>
    <x v="0"/>
    <x v="2"/>
    <n v="7820"/>
    <n v="7820"/>
    <n v="0"/>
    <n v="0"/>
    <n v="0"/>
    <n v="0"/>
    <n v="0"/>
    <n v="0"/>
    <n v="15"/>
    <s v="30 Days"/>
    <d v="2017-04-30T00:00:00"/>
    <s v="AI"/>
    <m/>
    <m/>
    <m/>
    <m/>
    <m/>
    <m/>
    <s v="4060588241"/>
  </r>
  <r>
    <s v="E2C1138601"/>
    <d v="2017-04-12T00:00:00"/>
    <s v="22C0321335"/>
    <x v="152"/>
    <x v="0"/>
    <x v="2"/>
    <n v="7829"/>
    <n v="7829"/>
    <n v="0"/>
    <n v="0"/>
    <n v="0"/>
    <n v="0"/>
    <n v="0"/>
    <n v="0"/>
    <n v="18"/>
    <s v="30 Days"/>
    <d v="2017-04-30T00:00:00"/>
    <s v="AI"/>
    <m/>
    <m/>
    <m/>
    <m/>
    <m/>
    <m/>
    <s v="4711232418"/>
  </r>
  <r>
    <s v="E2C1138310"/>
    <d v="2017-04-11T00:00:00"/>
    <s v="22C0320824"/>
    <x v="137"/>
    <x v="0"/>
    <x v="2"/>
    <n v="7829"/>
    <n v="7829"/>
    <n v="0"/>
    <n v="0"/>
    <n v="0"/>
    <n v="0"/>
    <n v="0"/>
    <n v="0"/>
    <n v="19"/>
    <s v="30 Days"/>
    <d v="2017-04-30T00:00:00"/>
    <s v="AI"/>
    <m/>
    <m/>
    <m/>
    <m/>
    <m/>
    <m/>
    <s v="4052208235"/>
  </r>
  <r>
    <s v="E2C1121177"/>
    <d v="2017-02-27T00:00:00"/>
    <s v="22C0315428"/>
    <x v="1"/>
    <x v="0"/>
    <x v="1"/>
    <n v="7832"/>
    <n v="0"/>
    <n v="0"/>
    <n v="0"/>
    <n v="7832"/>
    <n v="0"/>
    <n v="0"/>
    <n v="7832"/>
    <n v="62"/>
    <s v="61 To 90 Days"/>
    <d v="2017-04-30T00:00:00"/>
    <s v="AI"/>
    <m/>
    <m/>
    <m/>
    <m/>
    <m/>
    <m/>
    <s v="4540130567"/>
  </r>
  <r>
    <s v="E2C1138123"/>
    <d v="2017-04-11T00:00:00"/>
    <s v="22C0321141"/>
    <x v="53"/>
    <x v="0"/>
    <x v="1"/>
    <n v="7844"/>
    <n v="7844"/>
    <n v="0"/>
    <n v="0"/>
    <n v="0"/>
    <n v="0"/>
    <n v="0"/>
    <n v="0"/>
    <n v="19"/>
    <s v="30 Days"/>
    <d v="2017-04-30T00:00:00"/>
    <s v="AI"/>
    <m/>
    <m/>
    <m/>
    <m/>
    <m/>
    <m/>
    <s v="417268540"/>
  </r>
  <r>
    <s v="E2C1116189"/>
    <d v="2017-02-10T00:00:00"/>
    <s v="22C0313882"/>
    <x v="24"/>
    <x v="0"/>
    <x v="16"/>
    <n v="7860"/>
    <n v="0"/>
    <n v="0"/>
    <n v="0"/>
    <n v="7860"/>
    <n v="0"/>
    <n v="0"/>
    <n v="7860"/>
    <n v="79"/>
    <s v="61 To 90 Days"/>
    <d v="2017-04-30T00:00:00"/>
    <s v="AI"/>
    <m/>
    <m/>
    <m/>
    <m/>
    <m/>
    <m/>
    <s v="4041691571"/>
  </r>
  <r>
    <s v="E2C1133323"/>
    <d v="2017-03-30T00:00:00"/>
    <s v="22C0319533"/>
    <x v="54"/>
    <x v="0"/>
    <x v="2"/>
    <n v="7864"/>
    <n v="0"/>
    <n v="7864"/>
    <n v="0"/>
    <n v="0"/>
    <n v="0"/>
    <n v="0"/>
    <n v="0"/>
    <n v="31"/>
    <s v="31 TO 45 Days"/>
    <d v="2017-04-30T00:00:00"/>
    <s v="AI"/>
    <m/>
    <m/>
    <m/>
    <m/>
    <m/>
    <m/>
    <s v="4570270700"/>
  </r>
  <r>
    <s v="E2C1124911"/>
    <d v="2017-03-08T00:00:00"/>
    <s v="22C0316407"/>
    <x v="7"/>
    <x v="0"/>
    <x v="4"/>
    <n v="7866"/>
    <n v="0"/>
    <n v="0"/>
    <n v="7866"/>
    <n v="0"/>
    <n v="0"/>
    <n v="0"/>
    <n v="0"/>
    <n v="53"/>
    <s v="46 To 60 Days"/>
    <d v="2017-04-30T00:00:00"/>
    <s v="AI"/>
    <m/>
    <m/>
    <m/>
    <s v="EDI - Sent"/>
    <d v="2017-03-08T00:00:00"/>
    <s v="EDI successfully sent"/>
    <s v="4210171747"/>
  </r>
  <r>
    <s v="E2C1111401"/>
    <d v="2017-01-28T00:00:00"/>
    <s v="22C0312169"/>
    <x v="7"/>
    <x v="0"/>
    <x v="4"/>
    <n v="7871"/>
    <n v="0"/>
    <n v="0"/>
    <n v="0"/>
    <n v="0"/>
    <n v="7871"/>
    <n v="0"/>
    <n v="7871"/>
    <n v="92"/>
    <s v="91 To 120 Days"/>
    <d v="2017-04-30T00:00:00"/>
    <s v="AI"/>
    <m/>
    <m/>
    <m/>
    <s v="EDI - Sent"/>
    <d v="2017-01-30T00:00:00"/>
    <s v="EDI successfully sent"/>
    <s v="4711225199"/>
  </r>
  <r>
    <s v="E2C1139786"/>
    <d v="2017-04-15T00:00:00"/>
    <s v="22C0321741"/>
    <x v="153"/>
    <x v="0"/>
    <x v="2"/>
    <n v="7871"/>
    <n v="7871"/>
    <n v="0"/>
    <n v="0"/>
    <n v="0"/>
    <n v="0"/>
    <n v="0"/>
    <n v="0"/>
    <n v="15"/>
    <s v="30 Days"/>
    <d v="2017-04-30T00:00:00"/>
    <s v="AI"/>
    <m/>
    <m/>
    <m/>
    <m/>
    <m/>
    <m/>
    <s v="4812080186"/>
  </r>
  <r>
    <s v="E2C1129369"/>
    <d v="2017-03-21T00:00:00"/>
    <s v="22C0316579"/>
    <x v="69"/>
    <x v="0"/>
    <x v="2"/>
    <n v="7884"/>
    <n v="0"/>
    <n v="7884"/>
    <n v="0"/>
    <n v="0"/>
    <n v="0"/>
    <n v="0"/>
    <n v="0"/>
    <n v="40"/>
    <s v="31 TO 45 Days"/>
    <d v="2017-04-30T00:00:00"/>
    <s v="AI"/>
    <m/>
    <m/>
    <m/>
    <m/>
    <m/>
    <m/>
    <s v="4812073348"/>
  </r>
  <r>
    <s v="E2C1137892"/>
    <d v="2017-04-10T00:00:00"/>
    <s v="22C0320669"/>
    <x v="36"/>
    <x v="0"/>
    <x v="2"/>
    <n v="7886"/>
    <n v="7886"/>
    <n v="0"/>
    <n v="0"/>
    <n v="0"/>
    <n v="0"/>
    <n v="0"/>
    <n v="0"/>
    <n v="20"/>
    <s v="30 Days"/>
    <d v="2017-04-30T00:00:00"/>
    <s v="AI"/>
    <m/>
    <m/>
    <m/>
    <m/>
    <m/>
    <m/>
    <s v="4711242229"/>
  </r>
  <r>
    <s v="E2C1137874"/>
    <d v="2017-04-10T00:00:00"/>
    <s v="22C0320618"/>
    <x v="140"/>
    <x v="0"/>
    <x v="29"/>
    <n v="7895"/>
    <n v="7895"/>
    <n v="0"/>
    <n v="0"/>
    <n v="0"/>
    <n v="0"/>
    <n v="0"/>
    <n v="0"/>
    <n v="20"/>
    <s v="30 Days"/>
    <d v="2017-04-30T00:00:00"/>
    <s v="AI"/>
    <n v="120.42"/>
    <s v="USD"/>
    <m/>
    <s v="EDI - Sent"/>
    <d v="2017-04-10T00:00:00"/>
    <s v="EDI successfully sent"/>
    <s v="AF00038534"/>
  </r>
  <r>
    <s v="E2C1104739"/>
    <d v="2017-01-10T00:00:00"/>
    <s v="22C0310317"/>
    <x v="154"/>
    <x v="0"/>
    <x v="2"/>
    <n v="7929"/>
    <n v="0"/>
    <n v="0"/>
    <n v="0"/>
    <n v="0"/>
    <n v="7929"/>
    <n v="0"/>
    <n v="7929"/>
    <n v="110"/>
    <s v="91 To 120 Days"/>
    <d v="2017-04-30T00:00:00"/>
    <s v="AI"/>
    <m/>
    <m/>
    <m/>
    <m/>
    <m/>
    <m/>
    <s v="4041688102"/>
  </r>
  <r>
    <s v="E2C1102746"/>
    <d v="2017-01-03T00:00:00"/>
    <s v="22C0309412"/>
    <x v="7"/>
    <x v="0"/>
    <x v="4"/>
    <n v="7934"/>
    <n v="0"/>
    <n v="0"/>
    <n v="0"/>
    <n v="0"/>
    <n v="7934"/>
    <n v="0"/>
    <n v="7934"/>
    <n v="117"/>
    <s v="91 To 120 Days"/>
    <d v="2017-04-30T00:00:00"/>
    <s v="AI"/>
    <m/>
    <m/>
    <m/>
    <s v="EDI - Sent"/>
    <m/>
    <m/>
    <s v="411286020"/>
  </r>
  <r>
    <s v="E2C1102749"/>
    <d v="2017-01-03T00:00:00"/>
    <s v="22C0309413"/>
    <x v="7"/>
    <x v="0"/>
    <x v="4"/>
    <n v="7934"/>
    <n v="0"/>
    <n v="0"/>
    <n v="0"/>
    <n v="0"/>
    <n v="7934"/>
    <n v="0"/>
    <n v="7934"/>
    <n v="117"/>
    <s v="91 To 120 Days"/>
    <d v="2017-04-30T00:00:00"/>
    <s v="AI"/>
    <m/>
    <m/>
    <m/>
    <s v="EDI - Sent"/>
    <m/>
    <m/>
    <s v="411286021"/>
  </r>
  <r>
    <s v="E2C1102750"/>
    <d v="2017-01-03T00:00:00"/>
    <s v="22C0309414"/>
    <x v="7"/>
    <x v="0"/>
    <x v="4"/>
    <n v="7934"/>
    <n v="0"/>
    <n v="0"/>
    <n v="0"/>
    <n v="0"/>
    <n v="7934"/>
    <n v="0"/>
    <n v="7934"/>
    <n v="117"/>
    <s v="91 To 120 Days"/>
    <d v="2017-04-30T00:00:00"/>
    <s v="AI"/>
    <m/>
    <m/>
    <m/>
    <s v="EDI - Sent"/>
    <m/>
    <m/>
    <s v="411286022"/>
  </r>
  <r>
    <s v="E2C1102752"/>
    <d v="2017-01-03T00:00:00"/>
    <s v="22C0309415"/>
    <x v="7"/>
    <x v="0"/>
    <x v="4"/>
    <n v="7934"/>
    <n v="0"/>
    <n v="0"/>
    <n v="0"/>
    <n v="0"/>
    <n v="7934"/>
    <n v="0"/>
    <n v="7934"/>
    <n v="117"/>
    <s v="91 To 120 Days"/>
    <d v="2017-04-30T00:00:00"/>
    <s v="AI"/>
    <m/>
    <m/>
    <m/>
    <s v="EDI - Sent"/>
    <m/>
    <m/>
    <s v="411286023"/>
  </r>
  <r>
    <s v="E2C1132470"/>
    <d v="2017-03-28T00:00:00"/>
    <s v="22C0318672"/>
    <x v="53"/>
    <x v="0"/>
    <x v="1"/>
    <n v="7942"/>
    <n v="0"/>
    <n v="7942"/>
    <n v="0"/>
    <n v="0"/>
    <n v="0"/>
    <n v="0"/>
    <n v="0"/>
    <n v="33"/>
    <s v="31 TO 45 Days"/>
    <d v="2017-04-30T00:00:00"/>
    <s v="AI"/>
    <m/>
    <m/>
    <m/>
    <m/>
    <m/>
    <m/>
    <s v="417268371"/>
  </r>
  <r>
    <s v="E2C1123630"/>
    <d v="2017-03-04T00:00:00"/>
    <s v="22C0315953"/>
    <x v="78"/>
    <x v="0"/>
    <x v="1"/>
    <n v="7943"/>
    <n v="0"/>
    <n v="0"/>
    <n v="7943"/>
    <n v="0"/>
    <n v="0"/>
    <n v="0"/>
    <n v="0"/>
    <n v="57"/>
    <s v="46 To 60 Days"/>
    <d v="2017-04-30T00:00:00"/>
    <s v="AI"/>
    <m/>
    <m/>
    <m/>
    <m/>
    <m/>
    <m/>
    <s v="4930435309"/>
  </r>
  <r>
    <s v="E2C1135326"/>
    <d v="2017-04-03T00:00:00"/>
    <s v="22C0319489"/>
    <x v="135"/>
    <x v="0"/>
    <x v="28"/>
    <n v="7947"/>
    <n v="7947"/>
    <n v="0"/>
    <n v="0"/>
    <n v="0"/>
    <n v="0"/>
    <n v="0"/>
    <n v="0"/>
    <n v="27"/>
    <s v="30 Days"/>
    <d v="2017-04-30T00:00:00"/>
    <s v="AI"/>
    <m/>
    <m/>
    <m/>
    <s v="EDI - Sent"/>
    <d v="2017-04-03T00:00:00"/>
    <s v="EDI successfully sent"/>
    <s v="4052209013"/>
  </r>
  <r>
    <s v="E2C1135366"/>
    <d v="2017-04-03T00:00:00"/>
    <s v="22C0320279"/>
    <x v="155"/>
    <x v="0"/>
    <x v="2"/>
    <n v="7960"/>
    <n v="7960"/>
    <n v="0"/>
    <n v="0"/>
    <n v="0"/>
    <n v="0"/>
    <n v="0"/>
    <n v="0"/>
    <n v="27"/>
    <s v="30 Days"/>
    <d v="2017-04-30T00:00:00"/>
    <s v="AI"/>
    <m/>
    <m/>
    <m/>
    <m/>
    <m/>
    <m/>
    <s v="4711241259"/>
  </r>
  <r>
    <s v="E2C1137345"/>
    <d v="2017-04-07T00:00:00"/>
    <s v="22C0320673"/>
    <x v="155"/>
    <x v="0"/>
    <x v="2"/>
    <n v="7962"/>
    <n v="7962"/>
    <n v="0"/>
    <n v="0"/>
    <n v="0"/>
    <n v="0"/>
    <n v="0"/>
    <n v="0"/>
    <n v="23"/>
    <s v="30 Days"/>
    <d v="2017-04-30T00:00:00"/>
    <s v="AI"/>
    <m/>
    <m/>
    <m/>
    <m/>
    <m/>
    <m/>
    <s v="4711242371"/>
  </r>
  <r>
    <s v="E2C1128443"/>
    <d v="2017-03-18T00:00:00"/>
    <s v="22C0317769"/>
    <x v="53"/>
    <x v="0"/>
    <x v="1"/>
    <n v="7962"/>
    <n v="0"/>
    <n v="7962"/>
    <n v="0"/>
    <n v="0"/>
    <n v="0"/>
    <n v="0"/>
    <n v="0"/>
    <n v="43"/>
    <s v="31 TO 45 Days"/>
    <d v="2017-04-30T00:00:00"/>
    <s v="AI"/>
    <m/>
    <m/>
    <m/>
    <m/>
    <m/>
    <m/>
    <s v="417268313"/>
  </r>
  <r>
    <s v="E2C1133083"/>
    <d v="2017-03-30T00:00:00"/>
    <s v="22C0319083"/>
    <x v="24"/>
    <x v="0"/>
    <x v="16"/>
    <n v="7964"/>
    <n v="0"/>
    <n v="7964"/>
    <n v="0"/>
    <n v="0"/>
    <n v="0"/>
    <n v="0"/>
    <n v="0"/>
    <n v="31"/>
    <s v="31 TO 45 Days"/>
    <d v="2017-04-30T00:00:00"/>
    <s v="AI"/>
    <m/>
    <m/>
    <m/>
    <s v="EDE - Error"/>
    <d v="2017-03-30T00:00:00"/>
    <s v="=&quot;Input Control: 975676776ERROR:  No cdf conversion exists in_x000d_        parker_hannifin_ct_logistics_210_PARK210_charge_codes.cdf for GL Code_x000d_        2102 or 2102_FUEL SURCHARGE billed on Invoice 22C0319083, Sequential_x000d_        Invoice E2C1133083. Please ver"/>
    <s v="4041696048"/>
  </r>
  <r>
    <s v="E2C1133533"/>
    <d v="2017-03-30T00:00:00"/>
    <s v="22C0318471"/>
    <x v="135"/>
    <x v="0"/>
    <x v="28"/>
    <n v="7975"/>
    <n v="0"/>
    <n v="7975"/>
    <n v="0"/>
    <n v="0"/>
    <n v="0"/>
    <n v="0"/>
    <n v="0"/>
    <n v="31"/>
    <s v="31 TO 45 Days"/>
    <d v="2017-04-30T00:00:00"/>
    <s v="AI"/>
    <m/>
    <m/>
    <m/>
    <s v="EDI - Sent"/>
    <d v="2017-03-30T00:00:00"/>
    <s v="EDI successfully sent"/>
    <s v="4052207936"/>
  </r>
  <r>
    <s v="E2C1132401"/>
    <d v="2017-03-28T00:00:00"/>
    <s v="22C0319362"/>
    <x v="155"/>
    <x v="0"/>
    <x v="2"/>
    <n v="7982"/>
    <n v="0"/>
    <n v="7982"/>
    <n v="0"/>
    <n v="0"/>
    <n v="0"/>
    <n v="0"/>
    <n v="0"/>
    <n v="33"/>
    <s v="31 TO 45 Days"/>
    <d v="2017-04-30T00:00:00"/>
    <s v="AI"/>
    <m/>
    <m/>
    <m/>
    <m/>
    <m/>
    <m/>
    <s v="4711239123"/>
  </r>
  <r>
    <s v="E2C1134604"/>
    <d v="2017-03-31T00:00:00"/>
    <s v="22C0319669"/>
    <x v="155"/>
    <x v="0"/>
    <x v="2"/>
    <n v="7987"/>
    <n v="7987"/>
    <n v="0"/>
    <n v="0"/>
    <n v="0"/>
    <n v="0"/>
    <n v="0"/>
    <n v="0"/>
    <n v="30"/>
    <s v="30 Days"/>
    <d v="2017-04-30T00:00:00"/>
    <s v="AI"/>
    <m/>
    <m/>
    <m/>
    <m/>
    <m/>
    <m/>
    <s v="4711239619"/>
  </r>
  <r>
    <s v="E2C1135130"/>
    <d v="2017-04-01T00:00:00"/>
    <s v="22C0319991"/>
    <x v="155"/>
    <x v="0"/>
    <x v="2"/>
    <n v="7987"/>
    <n v="7987"/>
    <n v="0"/>
    <n v="0"/>
    <n v="0"/>
    <n v="0"/>
    <n v="0"/>
    <n v="0"/>
    <n v="29"/>
    <s v="30 Days"/>
    <d v="2017-04-30T00:00:00"/>
    <s v="AI"/>
    <m/>
    <m/>
    <m/>
    <m/>
    <m/>
    <m/>
    <s v="4711240271"/>
  </r>
  <r>
    <s v="E2C1132237"/>
    <d v="2017-03-28T00:00:00"/>
    <s v="22C0319070"/>
    <x v="61"/>
    <x v="0"/>
    <x v="2"/>
    <n v="8001"/>
    <n v="0"/>
    <n v="8001"/>
    <n v="0"/>
    <n v="0"/>
    <n v="0"/>
    <n v="0"/>
    <n v="0"/>
    <n v="33"/>
    <s v="31 TO 45 Days"/>
    <d v="2017-04-30T00:00:00"/>
    <s v="AI"/>
    <m/>
    <m/>
    <m/>
    <m/>
    <m/>
    <m/>
    <s v="4711238373"/>
  </r>
  <r>
    <s v="E2C1132415"/>
    <d v="2017-03-28T00:00:00"/>
    <s v="22C0319417"/>
    <x v="155"/>
    <x v="0"/>
    <x v="2"/>
    <n v="8002"/>
    <n v="0"/>
    <n v="8002"/>
    <n v="0"/>
    <n v="0"/>
    <n v="0"/>
    <n v="0"/>
    <n v="0"/>
    <n v="33"/>
    <s v="31 TO 45 Days"/>
    <d v="2017-04-30T00:00:00"/>
    <s v="AI"/>
    <m/>
    <m/>
    <m/>
    <m/>
    <m/>
    <m/>
    <s v="4711238746"/>
  </r>
  <r>
    <s v="E2C1132438"/>
    <d v="2017-03-28T00:00:00"/>
    <s v="22C0318314"/>
    <x v="93"/>
    <x v="0"/>
    <x v="0"/>
    <n v="8002"/>
    <n v="0"/>
    <n v="8002"/>
    <n v="0"/>
    <n v="0"/>
    <n v="0"/>
    <n v="0"/>
    <n v="0"/>
    <n v="33"/>
    <s v="31 TO 45 Days"/>
    <d v="2017-04-30T00:00:00"/>
    <s v="AI"/>
    <m/>
    <m/>
    <m/>
    <m/>
    <m/>
    <m/>
    <s v="4711237253"/>
  </r>
  <r>
    <s v="E2C1137756"/>
    <d v="2017-04-10T00:00:00"/>
    <s v="22C0320713"/>
    <x v="7"/>
    <x v="0"/>
    <x v="4"/>
    <n v="8009"/>
    <n v="8009"/>
    <n v="0"/>
    <n v="0"/>
    <n v="0"/>
    <n v="0"/>
    <n v="0"/>
    <n v="0"/>
    <n v="20"/>
    <s v="30 Days"/>
    <d v="2017-04-30T00:00:00"/>
    <s v="AI"/>
    <m/>
    <m/>
    <m/>
    <s v="EDI - Sent"/>
    <d v="2017-04-10T00:00:00"/>
    <s v="EDI successfully sent"/>
    <s v="42L0068250"/>
  </r>
  <r>
    <s v="E2C1134828"/>
    <d v="2017-04-01T00:00:00"/>
    <s v="22C0319829"/>
    <x v="53"/>
    <x v="0"/>
    <x v="1"/>
    <n v="8011"/>
    <n v="8011"/>
    <n v="0"/>
    <n v="0"/>
    <n v="0"/>
    <n v="0"/>
    <n v="0"/>
    <n v="0"/>
    <n v="29"/>
    <s v="30 Days"/>
    <d v="2017-04-30T00:00:00"/>
    <s v="AI"/>
    <m/>
    <m/>
    <m/>
    <m/>
    <m/>
    <m/>
    <s v="417268442"/>
  </r>
  <r>
    <s v="E2C1131470"/>
    <d v="2017-03-25T00:00:00"/>
    <s v="22C0318933"/>
    <x v="1"/>
    <x v="0"/>
    <x v="1"/>
    <n v="8017"/>
    <n v="0"/>
    <n v="8017"/>
    <n v="0"/>
    <n v="0"/>
    <n v="0"/>
    <n v="0"/>
    <n v="0"/>
    <n v="36"/>
    <s v="31 TO 45 Days"/>
    <d v="2017-04-30T00:00:00"/>
    <s v="AI"/>
    <m/>
    <m/>
    <m/>
    <m/>
    <m/>
    <m/>
    <s v="4540131353"/>
  </r>
  <r>
    <s v="E2C1127538"/>
    <d v="2017-03-16T00:00:00"/>
    <s v="22C0316944"/>
    <x v="155"/>
    <x v="0"/>
    <x v="2"/>
    <n v="8022"/>
    <n v="0"/>
    <n v="8022"/>
    <n v="0"/>
    <n v="0"/>
    <n v="0"/>
    <n v="0"/>
    <n v="0"/>
    <n v="45"/>
    <s v="31 TO 45 Days"/>
    <d v="2017-04-30T00:00:00"/>
    <s v="AI"/>
    <m/>
    <m/>
    <m/>
    <m/>
    <m/>
    <m/>
    <s v="4711234627"/>
  </r>
  <r>
    <s v="E2C1127539"/>
    <d v="2017-03-16T00:00:00"/>
    <s v="22C0317237"/>
    <x v="155"/>
    <x v="0"/>
    <x v="2"/>
    <n v="8022"/>
    <n v="0"/>
    <n v="8022"/>
    <n v="0"/>
    <n v="0"/>
    <n v="0"/>
    <n v="0"/>
    <n v="0"/>
    <n v="45"/>
    <s v="31 TO 45 Days"/>
    <d v="2017-04-30T00:00:00"/>
    <s v="AI"/>
    <m/>
    <m/>
    <m/>
    <m/>
    <m/>
    <m/>
    <s v="4711235643"/>
  </r>
  <r>
    <s v="E2C1135368"/>
    <d v="2017-04-03T00:00:00"/>
    <s v="22C0320280"/>
    <x v="155"/>
    <x v="0"/>
    <x v="2"/>
    <n v="8024"/>
    <n v="8024"/>
    <n v="0"/>
    <n v="0"/>
    <n v="0"/>
    <n v="0"/>
    <n v="0"/>
    <n v="0"/>
    <n v="27"/>
    <s v="30 Days"/>
    <d v="2017-04-30T00:00:00"/>
    <s v="AI"/>
    <m/>
    <m/>
    <m/>
    <m/>
    <m/>
    <m/>
    <s v="4711241260"/>
  </r>
  <r>
    <s v="E2C1129492"/>
    <d v="2017-03-21T00:00:00"/>
    <s v="22C0318043"/>
    <x v="155"/>
    <x v="0"/>
    <x v="2"/>
    <n v="8037"/>
    <n v="0"/>
    <n v="8037"/>
    <n v="0"/>
    <n v="0"/>
    <n v="0"/>
    <n v="0"/>
    <n v="0"/>
    <n v="40"/>
    <s v="31 TO 45 Days"/>
    <d v="2017-04-30T00:00:00"/>
    <s v="AI"/>
    <m/>
    <m/>
    <m/>
    <m/>
    <m/>
    <m/>
    <s v="4711236972"/>
  </r>
  <r>
    <s v="E2C1135120"/>
    <d v="2017-04-01T00:00:00"/>
    <s v="22C0319892"/>
    <x v="36"/>
    <x v="0"/>
    <x v="2"/>
    <n v="8040"/>
    <n v="8040"/>
    <n v="0"/>
    <n v="0"/>
    <n v="0"/>
    <n v="0"/>
    <n v="0"/>
    <n v="0"/>
    <n v="29"/>
    <s v="30 Days"/>
    <d v="2017-04-30T00:00:00"/>
    <s v="AI"/>
    <m/>
    <m/>
    <m/>
    <m/>
    <m/>
    <m/>
    <s v="4930437572"/>
  </r>
  <r>
    <s v="E2C1127609"/>
    <d v="2017-03-16T00:00:00"/>
    <s v="22C0317333"/>
    <x v="101"/>
    <x v="0"/>
    <x v="26"/>
    <n v="8040"/>
    <n v="0"/>
    <n v="8040"/>
    <n v="0"/>
    <n v="0"/>
    <n v="0"/>
    <n v="0"/>
    <n v="0"/>
    <n v="45"/>
    <s v="31 TO 45 Days"/>
    <d v="2017-04-30T00:00:00"/>
    <s v="AI"/>
    <m/>
    <m/>
    <m/>
    <m/>
    <m/>
    <m/>
    <s v="419166045"/>
  </r>
  <r>
    <s v="E2C1132413"/>
    <d v="2017-03-28T00:00:00"/>
    <s v="22C0319416"/>
    <x v="155"/>
    <x v="0"/>
    <x v="2"/>
    <n v="8045"/>
    <n v="0"/>
    <n v="8045"/>
    <n v="0"/>
    <n v="0"/>
    <n v="0"/>
    <n v="0"/>
    <n v="0"/>
    <n v="33"/>
    <s v="31 TO 45 Days"/>
    <d v="2017-04-30T00:00:00"/>
    <s v="AI"/>
    <m/>
    <m/>
    <m/>
    <m/>
    <m/>
    <m/>
    <s v="4711238745"/>
  </r>
  <r>
    <s v="E2C1130112"/>
    <d v="2017-03-22T00:00:00"/>
    <s v="22C0318665"/>
    <x v="155"/>
    <x v="0"/>
    <x v="2"/>
    <n v="8052"/>
    <n v="0"/>
    <n v="8052"/>
    <n v="0"/>
    <n v="0"/>
    <n v="0"/>
    <n v="0"/>
    <n v="0"/>
    <n v="39"/>
    <s v="31 TO 45 Days"/>
    <d v="2017-04-30T00:00:00"/>
    <s v="AI"/>
    <m/>
    <m/>
    <m/>
    <m/>
    <m/>
    <m/>
    <s v="4711238077"/>
  </r>
  <r>
    <s v="E2C1117080"/>
    <d v="2017-02-14T00:00:00"/>
    <s v="22C0314133"/>
    <x v="61"/>
    <x v="0"/>
    <x v="2"/>
    <n v="8055"/>
    <n v="0"/>
    <n v="0"/>
    <n v="0"/>
    <n v="8055"/>
    <n v="0"/>
    <n v="0"/>
    <n v="8055"/>
    <n v="75"/>
    <s v="61 To 90 Days"/>
    <d v="2017-04-30T00:00:00"/>
    <s v="AI"/>
    <m/>
    <m/>
    <m/>
    <m/>
    <m/>
    <m/>
    <s v="4711228468"/>
  </r>
  <r>
    <s v="E2C1129501"/>
    <d v="2017-03-21T00:00:00"/>
    <s v="22C0318325"/>
    <x v="155"/>
    <x v="0"/>
    <x v="2"/>
    <n v="8059"/>
    <n v="0"/>
    <n v="8059"/>
    <n v="0"/>
    <n v="0"/>
    <n v="0"/>
    <n v="0"/>
    <n v="0"/>
    <n v="40"/>
    <s v="31 TO 45 Days"/>
    <d v="2017-04-30T00:00:00"/>
    <s v="AI"/>
    <m/>
    <m/>
    <m/>
    <m/>
    <m/>
    <m/>
    <s v="4711236975"/>
  </r>
  <r>
    <s v="E2C1127537"/>
    <d v="2017-03-16T00:00:00"/>
    <s v="22C0317240"/>
    <x v="28"/>
    <x v="0"/>
    <x v="17"/>
    <n v="8065"/>
    <n v="0"/>
    <n v="8065"/>
    <n v="0"/>
    <n v="0"/>
    <n v="0"/>
    <n v="0"/>
    <n v="0"/>
    <n v="45"/>
    <s v="31 TO 45 Days"/>
    <d v="2017-04-30T00:00:00"/>
    <s v="AI"/>
    <m/>
    <m/>
    <m/>
    <m/>
    <m/>
    <m/>
    <s v="4711235662"/>
  </r>
  <r>
    <s v="E2C1113572"/>
    <d v="2017-02-02T00:00:00"/>
    <s v="22C0312942"/>
    <x v="54"/>
    <x v="0"/>
    <x v="2"/>
    <n v="8069"/>
    <n v="0"/>
    <n v="0"/>
    <n v="0"/>
    <n v="8069"/>
    <n v="0"/>
    <n v="0"/>
    <n v="8069"/>
    <n v="87"/>
    <s v="61 To 90 Days"/>
    <d v="2017-04-30T00:00:00"/>
    <s v="AI"/>
    <m/>
    <m/>
    <m/>
    <m/>
    <m/>
    <m/>
    <s v="4570267971"/>
  </r>
  <r>
    <s v="E2C1120724"/>
    <d v="2017-02-25T00:00:00"/>
    <s v="22C0314466"/>
    <x v="7"/>
    <x v="0"/>
    <x v="4"/>
    <n v="8074"/>
    <n v="0"/>
    <n v="0"/>
    <n v="0"/>
    <n v="8074"/>
    <n v="0"/>
    <n v="0"/>
    <n v="8074"/>
    <n v="64"/>
    <s v="61 To 90 Days"/>
    <d v="2017-04-30T00:00:00"/>
    <s v="AI"/>
    <m/>
    <m/>
    <m/>
    <s v="EDI - Sent"/>
    <d v="2017-03-02T00:00:00"/>
    <s v="EDI successfully sent"/>
    <s v="4711229439"/>
  </r>
  <r>
    <s v="E2C1124867"/>
    <d v="2017-03-08T00:00:00"/>
    <s v="22C0316710"/>
    <x v="54"/>
    <x v="0"/>
    <x v="2"/>
    <n v="8092"/>
    <n v="0"/>
    <n v="0"/>
    <n v="8092"/>
    <n v="0"/>
    <n v="0"/>
    <n v="0"/>
    <n v="0"/>
    <n v="53"/>
    <s v="46 To 60 Days"/>
    <d v="2017-04-30T00:00:00"/>
    <s v="AI"/>
    <m/>
    <m/>
    <m/>
    <m/>
    <m/>
    <m/>
    <s v="4560218137"/>
  </r>
  <r>
    <s v="E2C1123189"/>
    <d v="2017-03-02T00:00:00"/>
    <s v="22C0315936"/>
    <x v="53"/>
    <x v="0"/>
    <x v="1"/>
    <n v="8094"/>
    <n v="0"/>
    <n v="0"/>
    <n v="8094"/>
    <n v="0"/>
    <n v="0"/>
    <n v="0"/>
    <n v="0"/>
    <n v="59"/>
    <s v="46 To 60 Days"/>
    <d v="2017-04-30T00:00:00"/>
    <s v="AI"/>
    <m/>
    <m/>
    <m/>
    <m/>
    <m/>
    <m/>
    <s v="417268183"/>
  </r>
  <r>
    <s v="E2C1130132"/>
    <d v="2017-03-22T00:00:00"/>
    <s v="22C0318670"/>
    <x v="155"/>
    <x v="0"/>
    <x v="2"/>
    <n v="8095"/>
    <n v="0"/>
    <n v="8095"/>
    <n v="0"/>
    <n v="0"/>
    <n v="0"/>
    <n v="0"/>
    <n v="0"/>
    <n v="39"/>
    <s v="31 TO 45 Days"/>
    <d v="2017-04-30T00:00:00"/>
    <s v="AI"/>
    <m/>
    <m/>
    <m/>
    <m/>
    <m/>
    <m/>
    <s v="4711238342"/>
  </r>
  <r>
    <s v="E2C1130139"/>
    <d v="2017-03-22T00:00:00"/>
    <s v="22C0317670"/>
    <x v="155"/>
    <x v="0"/>
    <x v="2"/>
    <n v="8095"/>
    <n v="0"/>
    <n v="8095"/>
    <n v="0"/>
    <n v="0"/>
    <n v="0"/>
    <n v="0"/>
    <n v="0"/>
    <n v="39"/>
    <s v="31 TO 45 Days"/>
    <d v="2017-04-30T00:00:00"/>
    <s v="AI"/>
    <m/>
    <m/>
    <m/>
    <m/>
    <m/>
    <m/>
    <s v="4711236236"/>
  </r>
  <r>
    <s v="E2C1098615"/>
    <d v="2016-12-24T00:00:00"/>
    <s v="22C0308191"/>
    <x v="7"/>
    <x v="0"/>
    <x v="4"/>
    <n v="8098"/>
    <n v="0"/>
    <n v="0"/>
    <n v="0"/>
    <n v="0"/>
    <n v="0"/>
    <n v="8098"/>
    <n v="8098"/>
    <n v="127"/>
    <s v="Plus120Days"/>
    <d v="2017-04-30T00:00:00"/>
    <s v="AI"/>
    <m/>
    <m/>
    <m/>
    <s v="EDI - Sent"/>
    <m/>
    <m/>
    <s v="4060578862"/>
  </r>
  <r>
    <s v="E2C1136536"/>
    <d v="2017-04-06T00:00:00"/>
    <s v="22C0320135"/>
    <x v="140"/>
    <x v="0"/>
    <x v="29"/>
    <n v="8103"/>
    <n v="8103"/>
    <n v="0"/>
    <n v="0"/>
    <n v="0"/>
    <n v="0"/>
    <n v="0"/>
    <n v="0"/>
    <n v="24"/>
    <s v="30 Days"/>
    <d v="2017-04-30T00:00:00"/>
    <s v="AI"/>
    <n v="122.36"/>
    <s v="USD"/>
    <m/>
    <s v="EDI - Sent"/>
    <d v="2017-04-06T00:00:00"/>
    <s v="EDI successfully sent"/>
    <s v="410387874"/>
  </r>
  <r>
    <s v="E2C1135135"/>
    <d v="2017-04-01T00:00:00"/>
    <s v="22C0319996"/>
    <x v="155"/>
    <x v="0"/>
    <x v="2"/>
    <n v="8114"/>
    <n v="8114"/>
    <n v="0"/>
    <n v="0"/>
    <n v="0"/>
    <n v="0"/>
    <n v="0"/>
    <n v="0"/>
    <n v="29"/>
    <s v="30 Days"/>
    <d v="2017-04-30T00:00:00"/>
    <s v="AI"/>
    <m/>
    <m/>
    <m/>
    <m/>
    <m/>
    <m/>
    <s v="4711240568"/>
  </r>
  <r>
    <s v="E2C1135138"/>
    <d v="2017-04-01T00:00:00"/>
    <s v="22C0320011"/>
    <x v="155"/>
    <x v="0"/>
    <x v="2"/>
    <n v="8114"/>
    <n v="8114"/>
    <n v="0"/>
    <n v="0"/>
    <n v="0"/>
    <n v="0"/>
    <n v="0"/>
    <n v="0"/>
    <n v="29"/>
    <s v="30 Days"/>
    <d v="2017-04-30T00:00:00"/>
    <s v="AI"/>
    <m/>
    <m/>
    <m/>
    <m/>
    <m/>
    <m/>
    <s v="4711240985"/>
  </r>
  <r>
    <s v="E2C1136483"/>
    <d v="2017-04-06T00:00:00"/>
    <s v="22C0320109"/>
    <x v="156"/>
    <x v="0"/>
    <x v="16"/>
    <n v="8115"/>
    <n v="8115"/>
    <n v="0"/>
    <n v="0"/>
    <n v="0"/>
    <n v="0"/>
    <n v="0"/>
    <n v="0"/>
    <n v="24"/>
    <s v="30 Days"/>
    <d v="2017-04-30T00:00:00"/>
    <s v="AI"/>
    <m/>
    <m/>
    <m/>
    <m/>
    <m/>
    <m/>
    <s v="4812078751"/>
  </r>
  <r>
    <s v="E2C1123709"/>
    <d v="2017-03-04T00:00:00"/>
    <s v="22C0315558"/>
    <x v="95"/>
    <x v="0"/>
    <x v="25"/>
    <n v="8129"/>
    <n v="0"/>
    <n v="0"/>
    <n v="8129"/>
    <n v="0"/>
    <n v="0"/>
    <n v="0"/>
    <n v="0"/>
    <n v="57"/>
    <s v="46 To 60 Days"/>
    <d v="2017-04-30T00:00:00"/>
    <s v="AI"/>
    <m/>
    <m/>
    <m/>
    <m/>
    <m/>
    <m/>
    <s v="4930434664"/>
  </r>
  <r>
    <s v="E2C1113672"/>
    <d v="2017-02-02T00:00:00"/>
    <s v="22C0313057"/>
    <x v="146"/>
    <x v="0"/>
    <x v="30"/>
    <n v="8131"/>
    <n v="0"/>
    <n v="0"/>
    <n v="0"/>
    <n v="8131"/>
    <n v="0"/>
    <n v="0"/>
    <n v="8131"/>
    <n v="87"/>
    <s v="61 To 90 Days"/>
    <d v="2017-04-30T00:00:00"/>
    <s v="AI"/>
    <m/>
    <m/>
    <m/>
    <m/>
    <m/>
    <m/>
    <s v="4750385558"/>
  </r>
  <r>
    <s v="E2C1132435"/>
    <d v="2017-03-28T00:00:00"/>
    <s v="22C0318813"/>
    <x v="10"/>
    <x v="0"/>
    <x v="5"/>
    <n v="8131"/>
    <n v="0"/>
    <n v="8131"/>
    <n v="0"/>
    <n v="0"/>
    <n v="0"/>
    <n v="0"/>
    <n v="0"/>
    <n v="33"/>
    <s v="31 TO 45 Days"/>
    <d v="2017-04-30T00:00:00"/>
    <s v="AI"/>
    <m/>
    <m/>
    <m/>
    <m/>
    <m/>
    <m/>
    <s v="4912901783"/>
  </r>
  <r>
    <s v="E2C1120495"/>
    <d v="2017-02-24T00:00:00"/>
    <s v="22C0315151"/>
    <x v="53"/>
    <x v="0"/>
    <x v="1"/>
    <n v="8136"/>
    <n v="0"/>
    <n v="0"/>
    <n v="0"/>
    <n v="8136"/>
    <n v="0"/>
    <n v="0"/>
    <n v="8136"/>
    <n v="65"/>
    <s v="61 To 90 Days"/>
    <d v="2017-04-30T00:00:00"/>
    <s v="AI"/>
    <m/>
    <m/>
    <m/>
    <m/>
    <m/>
    <m/>
    <s v="417268126"/>
  </r>
  <r>
    <s v="E2C1130104"/>
    <d v="2017-03-22T00:00:00"/>
    <s v="22C0318649"/>
    <x v="155"/>
    <x v="0"/>
    <x v="2"/>
    <n v="8137"/>
    <n v="0"/>
    <n v="8137"/>
    <n v="0"/>
    <n v="0"/>
    <n v="0"/>
    <n v="0"/>
    <n v="0"/>
    <n v="39"/>
    <s v="31 TO 45 Days"/>
    <d v="2017-04-30T00:00:00"/>
    <s v="AI"/>
    <m/>
    <m/>
    <m/>
    <m/>
    <m/>
    <m/>
    <s v="4711236717"/>
  </r>
  <r>
    <s v="E2C1137886"/>
    <d v="2017-04-10T00:00:00"/>
    <s v="22C0320633"/>
    <x v="54"/>
    <x v="0"/>
    <x v="2"/>
    <n v="8138"/>
    <n v="8138"/>
    <n v="0"/>
    <n v="0"/>
    <n v="0"/>
    <n v="0"/>
    <n v="0"/>
    <n v="0"/>
    <n v="20"/>
    <s v="30 Days"/>
    <d v="2017-04-30T00:00:00"/>
    <s v="AI"/>
    <m/>
    <m/>
    <m/>
    <m/>
    <m/>
    <m/>
    <s v="416564598"/>
  </r>
  <r>
    <s v="E2C1117896"/>
    <d v="2017-02-16T00:00:00"/>
    <s v="22C0313935"/>
    <x v="135"/>
    <x v="0"/>
    <x v="28"/>
    <n v="8141"/>
    <n v="0"/>
    <n v="0"/>
    <n v="0"/>
    <n v="8141"/>
    <n v="0"/>
    <n v="0"/>
    <n v="8141"/>
    <n v="73"/>
    <s v="61 To 90 Days"/>
    <d v="2017-04-30T00:00:00"/>
    <s v="AI"/>
    <m/>
    <m/>
    <m/>
    <s v="EDI - Sent"/>
    <d v="2017-02-16T00:00:00"/>
    <s v="EDI successfully sent"/>
    <s v="4052201373"/>
  </r>
  <r>
    <s v="E2C1118963"/>
    <d v="2017-02-20T00:00:00"/>
    <s v="22C0314065"/>
    <x v="20"/>
    <x v="0"/>
    <x v="2"/>
    <n v="8150"/>
    <n v="0"/>
    <n v="0"/>
    <n v="0"/>
    <n v="8150"/>
    <n v="0"/>
    <n v="0"/>
    <n v="8150"/>
    <n v="69"/>
    <s v="61 To 90 Days"/>
    <d v="2017-04-30T00:00:00"/>
    <s v="AI"/>
    <m/>
    <m/>
    <m/>
    <m/>
    <m/>
    <m/>
    <s v="4720487782"/>
  </r>
  <r>
    <s v="E2C1120698"/>
    <d v="2017-02-25T00:00:00"/>
    <s v="22C0314200"/>
    <x v="7"/>
    <x v="0"/>
    <x v="4"/>
    <n v="8153"/>
    <n v="0"/>
    <n v="0"/>
    <n v="0"/>
    <n v="8153"/>
    <n v="0"/>
    <n v="0"/>
    <n v="8153"/>
    <n v="64"/>
    <s v="61 To 90 Days"/>
    <d v="2017-04-30T00:00:00"/>
    <s v="AI"/>
    <m/>
    <m/>
    <m/>
    <s v="EDI - Sent"/>
    <d v="2017-03-02T00:00:00"/>
    <s v="EDI successfully sent"/>
    <s v="4210171401"/>
  </r>
  <r>
    <s v="E2C1126527"/>
    <d v="2017-03-14T00:00:00"/>
    <s v="22C0317104"/>
    <x v="135"/>
    <x v="0"/>
    <x v="28"/>
    <n v="8160"/>
    <n v="0"/>
    <n v="0"/>
    <n v="8160"/>
    <n v="0"/>
    <n v="0"/>
    <n v="0"/>
    <n v="0"/>
    <n v="47"/>
    <s v="46 To 60 Days"/>
    <d v="2017-04-30T00:00:00"/>
    <s v="AI"/>
    <m/>
    <m/>
    <m/>
    <s v="EDI - Sent"/>
    <d v="2017-03-14T00:00:00"/>
    <s v="EDI successfully sent"/>
    <s v="4052205616"/>
  </r>
  <r>
    <s v="E2C1104880"/>
    <d v="2017-01-10T00:00:00"/>
    <s v="22C0310302"/>
    <x v="7"/>
    <x v="0"/>
    <x v="4"/>
    <n v="8166"/>
    <n v="0"/>
    <n v="0"/>
    <n v="0"/>
    <n v="0"/>
    <n v="8166"/>
    <n v="0"/>
    <n v="8166"/>
    <n v="110"/>
    <s v="91 To 120 Days"/>
    <d v="2017-04-30T00:00:00"/>
    <s v="AI"/>
    <m/>
    <m/>
    <m/>
    <s v="EDI - Sent"/>
    <m/>
    <m/>
    <s v="4060580258"/>
  </r>
  <r>
    <s v="E2C1118152"/>
    <d v="2017-02-17T00:00:00"/>
    <s v="22C0314597"/>
    <x v="36"/>
    <x v="0"/>
    <x v="2"/>
    <n v="8170"/>
    <n v="0"/>
    <n v="0"/>
    <n v="0"/>
    <n v="8170"/>
    <n v="0"/>
    <n v="0"/>
    <n v="8170"/>
    <n v="72"/>
    <s v="61 To 90 Days"/>
    <d v="2017-04-30T00:00:00"/>
    <s v="AI"/>
    <m/>
    <m/>
    <m/>
    <m/>
    <m/>
    <m/>
    <s v="4930434359"/>
  </r>
  <r>
    <s v="E2C1127921"/>
    <d v="2017-03-17T00:00:00"/>
    <s v="22C0317932"/>
    <x v="157"/>
    <x v="0"/>
    <x v="2"/>
    <n v="8181"/>
    <n v="0"/>
    <n v="8181"/>
    <n v="0"/>
    <n v="0"/>
    <n v="0"/>
    <n v="0"/>
    <n v="0"/>
    <n v="44"/>
    <s v="31 TO 45 Days"/>
    <d v="2017-04-30T00:00:00"/>
    <s v="AI"/>
    <m/>
    <m/>
    <m/>
    <m/>
    <m/>
    <m/>
    <s v="4071587255"/>
  </r>
  <r>
    <s v="E2C1134399"/>
    <d v="2017-03-31T00:00:00"/>
    <s v="22C0318628"/>
    <x v="140"/>
    <x v="0"/>
    <x v="29"/>
    <n v="8182"/>
    <n v="8182"/>
    <n v="0"/>
    <n v="0"/>
    <n v="0"/>
    <n v="0"/>
    <n v="0"/>
    <n v="0"/>
    <n v="30"/>
    <s v="30 Days"/>
    <d v="2017-04-30T00:00:00"/>
    <s v="AI"/>
    <n v="123.98"/>
    <s v="USD"/>
    <m/>
    <s v="EDI - Sent"/>
    <d v="2017-03-31T00:00:00"/>
    <s v="EDI successfully sent"/>
    <s v="410387627"/>
  </r>
  <r>
    <s v="E2C1129488"/>
    <d v="2017-03-21T00:00:00"/>
    <s v="22C0318040"/>
    <x v="155"/>
    <x v="0"/>
    <x v="2"/>
    <n v="8187"/>
    <n v="0"/>
    <n v="8187"/>
    <n v="0"/>
    <n v="0"/>
    <n v="0"/>
    <n v="0"/>
    <n v="0"/>
    <n v="40"/>
    <s v="31 TO 45 Days"/>
    <d v="2017-04-30T00:00:00"/>
    <s v="AI"/>
    <m/>
    <m/>
    <m/>
    <m/>
    <m/>
    <m/>
    <s v="4711236719"/>
  </r>
  <r>
    <s v="E2C1123088"/>
    <d v="2017-03-02T00:00:00"/>
    <s v="22C0316044"/>
    <x v="155"/>
    <x v="0"/>
    <x v="2"/>
    <n v="8198"/>
    <n v="0"/>
    <n v="0"/>
    <n v="8198"/>
    <n v="0"/>
    <n v="0"/>
    <n v="0"/>
    <n v="0"/>
    <n v="59"/>
    <s v="46 To 60 Days"/>
    <d v="2017-04-30T00:00:00"/>
    <s v="AI"/>
    <m/>
    <m/>
    <m/>
    <m/>
    <m/>
    <m/>
    <s v="4711233202"/>
  </r>
  <r>
    <s v="E2C1122465"/>
    <d v="2017-02-28T00:00:00"/>
    <s v="22C0315685"/>
    <x v="155"/>
    <x v="0"/>
    <x v="2"/>
    <n v="8200"/>
    <n v="0"/>
    <n v="0"/>
    <n v="0"/>
    <n v="8200"/>
    <n v="0"/>
    <n v="0"/>
    <n v="8200"/>
    <n v="61"/>
    <s v="61 To 90 Days"/>
    <d v="2017-04-30T00:00:00"/>
    <s v="AI"/>
    <m/>
    <m/>
    <m/>
    <m/>
    <m/>
    <m/>
    <s v="4711232251"/>
  </r>
  <r>
    <s v="E2C1139835"/>
    <d v="2017-04-15T00:00:00"/>
    <s v="22C0320839"/>
    <x v="69"/>
    <x v="0"/>
    <x v="2"/>
    <n v="8205"/>
    <n v="8205"/>
    <n v="0"/>
    <n v="0"/>
    <n v="0"/>
    <n v="0"/>
    <n v="0"/>
    <n v="0"/>
    <n v="15"/>
    <s v="30 Days"/>
    <d v="2017-04-30T00:00:00"/>
    <s v="AI"/>
    <m/>
    <m/>
    <m/>
    <m/>
    <m/>
    <m/>
    <s v="4395874589"/>
  </r>
  <r>
    <s v="E2C1116219"/>
    <d v="2017-02-10T00:00:00"/>
    <s v="22C0313897"/>
    <x v="155"/>
    <x v="0"/>
    <x v="2"/>
    <n v="8208"/>
    <n v="0"/>
    <n v="0"/>
    <n v="0"/>
    <n v="8208"/>
    <n v="0"/>
    <n v="0"/>
    <n v="8208"/>
    <n v="79"/>
    <s v="61 To 90 Days"/>
    <d v="2017-04-30T00:00:00"/>
    <s v="AI"/>
    <m/>
    <m/>
    <m/>
    <m/>
    <m/>
    <m/>
    <s v="4711227571"/>
  </r>
  <r>
    <s v="E2C1116340"/>
    <d v="2017-02-10T00:00:00"/>
    <s v="22C0313903"/>
    <x v="155"/>
    <x v="0"/>
    <x v="2"/>
    <n v="8208"/>
    <n v="0"/>
    <n v="0"/>
    <n v="0"/>
    <n v="8208"/>
    <n v="0"/>
    <n v="0"/>
    <n v="8208"/>
    <n v="79"/>
    <s v="61 To 90 Days"/>
    <d v="2017-04-30T00:00:00"/>
    <s v="AI"/>
    <m/>
    <m/>
    <m/>
    <m/>
    <m/>
    <m/>
    <s v="4711228050"/>
  </r>
  <r>
    <s v="E2C1138004"/>
    <d v="2017-04-11T00:00:00"/>
    <s v="22C0321041"/>
    <x v="22"/>
    <x v="0"/>
    <x v="14"/>
    <n v="8208"/>
    <n v="8208"/>
    <n v="0"/>
    <n v="0"/>
    <n v="0"/>
    <n v="0"/>
    <n v="0"/>
    <n v="0"/>
    <n v="19"/>
    <s v="30 Days"/>
    <d v="2017-04-30T00:00:00"/>
    <s v="AI"/>
    <m/>
    <m/>
    <m/>
    <m/>
    <m/>
    <m/>
    <s v="423610546"/>
  </r>
  <r>
    <s v="E2C1106446"/>
    <d v="2017-01-13T00:00:00"/>
    <s v="22C0310616"/>
    <x v="7"/>
    <x v="0"/>
    <x v="4"/>
    <n v="8213"/>
    <n v="0"/>
    <n v="0"/>
    <n v="0"/>
    <n v="0"/>
    <n v="8213"/>
    <n v="0"/>
    <n v="8213"/>
    <n v="107"/>
    <s v="91 To 120 Days"/>
    <d v="2017-04-30T00:00:00"/>
    <s v="AI"/>
    <m/>
    <m/>
    <m/>
    <s v="EDI - Sent"/>
    <m/>
    <m/>
    <s v="4210170695"/>
  </r>
  <r>
    <s v="E2C1122762"/>
    <d v="2017-03-01T00:00:00"/>
    <s v="22C0314334"/>
    <x v="1"/>
    <x v="0"/>
    <x v="1"/>
    <n v="8216"/>
    <n v="0"/>
    <n v="0"/>
    <n v="8216"/>
    <n v="0"/>
    <n v="0"/>
    <n v="0"/>
    <n v="0"/>
    <n v="60"/>
    <s v="46 To 60 Days"/>
    <d v="2017-04-30T00:00:00"/>
    <s v="AI"/>
    <m/>
    <m/>
    <m/>
    <m/>
    <m/>
    <m/>
    <s v="4750386128"/>
  </r>
  <r>
    <s v="E2C1120412"/>
    <d v="2017-02-24T00:00:00"/>
    <s v="22C0315417"/>
    <x v="155"/>
    <x v="0"/>
    <x v="2"/>
    <n v="8217"/>
    <n v="0"/>
    <n v="0"/>
    <n v="0"/>
    <n v="8217"/>
    <n v="0"/>
    <n v="0"/>
    <n v="8217"/>
    <n v="65"/>
    <s v="61 To 90 Days"/>
    <d v="2017-04-30T00:00:00"/>
    <s v="AI"/>
    <m/>
    <m/>
    <m/>
    <m/>
    <m/>
    <m/>
    <s v="4711231621"/>
  </r>
  <r>
    <s v="E2C1137827"/>
    <d v="2017-04-10T00:00:00"/>
    <s v="22C0320283"/>
    <x v="69"/>
    <x v="0"/>
    <x v="2"/>
    <n v="8217"/>
    <n v="8217"/>
    <n v="0"/>
    <n v="0"/>
    <n v="0"/>
    <n v="0"/>
    <n v="0"/>
    <n v="0"/>
    <n v="20"/>
    <s v="30 Days"/>
    <d v="2017-04-30T00:00:00"/>
    <s v="AI"/>
    <m/>
    <m/>
    <m/>
    <m/>
    <m/>
    <m/>
    <s v="41A0078485"/>
  </r>
  <r>
    <s v="E2C1128920"/>
    <d v="2017-03-20T00:00:00"/>
    <s v="22C0317515"/>
    <x v="54"/>
    <x v="0"/>
    <x v="2"/>
    <n v="8218"/>
    <n v="0"/>
    <n v="8218"/>
    <n v="0"/>
    <n v="0"/>
    <n v="0"/>
    <n v="0"/>
    <n v="0"/>
    <n v="41"/>
    <s v="31 TO 45 Days"/>
    <d v="2017-04-30T00:00:00"/>
    <s v="AI"/>
    <m/>
    <m/>
    <m/>
    <m/>
    <m/>
    <m/>
    <s v="4540130925"/>
  </r>
  <r>
    <s v="E2C1135139"/>
    <d v="2017-04-01T00:00:00"/>
    <s v="22C0320012"/>
    <x v="155"/>
    <x v="0"/>
    <x v="2"/>
    <n v="8219"/>
    <n v="8219"/>
    <n v="0"/>
    <n v="0"/>
    <n v="0"/>
    <n v="0"/>
    <n v="0"/>
    <n v="0"/>
    <n v="29"/>
    <s v="30 Days"/>
    <d v="2017-04-30T00:00:00"/>
    <s v="AI"/>
    <m/>
    <m/>
    <m/>
    <m/>
    <m/>
    <m/>
    <s v="4711240989"/>
  </r>
  <r>
    <s v="E2C1117859"/>
    <d v="2017-02-16T00:00:00"/>
    <s v="22C0314471"/>
    <x v="155"/>
    <x v="0"/>
    <x v="2"/>
    <n v="8220"/>
    <n v="0"/>
    <n v="0"/>
    <n v="0"/>
    <n v="8220"/>
    <n v="0"/>
    <n v="0"/>
    <n v="8220"/>
    <n v="73"/>
    <s v="61 To 90 Days"/>
    <d v="2017-04-30T00:00:00"/>
    <s v="AI"/>
    <m/>
    <m/>
    <m/>
    <m/>
    <m/>
    <m/>
    <s v="4711229491"/>
  </r>
  <r>
    <s v="E2C1108629"/>
    <d v="2017-01-20T00:00:00"/>
    <s v="22C0311477"/>
    <x v="158"/>
    <x v="0"/>
    <x v="2"/>
    <n v="8220"/>
    <n v="0"/>
    <n v="0"/>
    <n v="0"/>
    <n v="0"/>
    <n v="8220"/>
    <n v="0"/>
    <n v="8220"/>
    <n v="100"/>
    <s v="91 To 120 Days"/>
    <d v="2017-04-30T00:00:00"/>
    <s v="AI"/>
    <m/>
    <m/>
    <m/>
    <m/>
    <m/>
    <m/>
    <s v="419164951"/>
  </r>
  <r>
    <s v="E2C1130136"/>
    <d v="2017-03-22T00:00:00"/>
    <s v="22C0317669"/>
    <x v="155"/>
    <x v="0"/>
    <x v="2"/>
    <n v="8223"/>
    <n v="0"/>
    <n v="8223"/>
    <n v="0"/>
    <n v="0"/>
    <n v="0"/>
    <n v="0"/>
    <n v="0"/>
    <n v="39"/>
    <s v="31 TO 45 Days"/>
    <d v="2017-04-30T00:00:00"/>
    <s v="AI"/>
    <m/>
    <m/>
    <m/>
    <m/>
    <m/>
    <m/>
    <s v="4711236235"/>
  </r>
  <r>
    <s v="E2C1119342"/>
    <d v="2017-02-21T00:00:00"/>
    <s v="22C0314148"/>
    <x v="155"/>
    <x v="0"/>
    <x v="2"/>
    <n v="8228"/>
    <n v="0"/>
    <n v="0"/>
    <n v="0"/>
    <n v="8228"/>
    <n v="0"/>
    <n v="0"/>
    <n v="8228"/>
    <n v="68"/>
    <s v="61 To 90 Days"/>
    <d v="2017-04-30T00:00:00"/>
    <s v="AI"/>
    <m/>
    <m/>
    <m/>
    <m/>
    <m/>
    <m/>
    <s v="4711228488"/>
  </r>
  <r>
    <s v="E2C1119350"/>
    <d v="2017-02-21T00:00:00"/>
    <s v="22C0314361"/>
    <x v="155"/>
    <x v="0"/>
    <x v="2"/>
    <n v="8228"/>
    <n v="0"/>
    <n v="0"/>
    <n v="0"/>
    <n v="8228"/>
    <n v="0"/>
    <n v="0"/>
    <n v="8228"/>
    <n v="68"/>
    <s v="61 To 90 Days"/>
    <d v="2017-04-30T00:00:00"/>
    <s v="AI"/>
    <m/>
    <m/>
    <m/>
    <m/>
    <m/>
    <m/>
    <s v="4711229016"/>
  </r>
  <r>
    <s v="E2C1119356"/>
    <d v="2017-02-21T00:00:00"/>
    <s v="22C0314368"/>
    <x v="155"/>
    <x v="0"/>
    <x v="2"/>
    <n v="8228"/>
    <n v="0"/>
    <n v="0"/>
    <n v="0"/>
    <n v="8228"/>
    <n v="0"/>
    <n v="0"/>
    <n v="8228"/>
    <n v="68"/>
    <s v="61 To 90 Days"/>
    <d v="2017-04-30T00:00:00"/>
    <s v="AI"/>
    <m/>
    <m/>
    <m/>
    <m/>
    <m/>
    <m/>
    <s v="4711228826"/>
  </r>
  <r>
    <s v="E2C1121387"/>
    <d v="2017-02-27T00:00:00"/>
    <s v="22C0315380"/>
    <x v="140"/>
    <x v="0"/>
    <x v="29"/>
    <n v="8239"/>
    <n v="0"/>
    <n v="0"/>
    <n v="0"/>
    <n v="8239"/>
    <n v="0"/>
    <n v="0"/>
    <n v="8239"/>
    <n v="62"/>
    <s v="61 To 90 Days"/>
    <d v="2017-04-30T00:00:00"/>
    <s v="AI"/>
    <n v="121.46"/>
    <s v="USD"/>
    <m/>
    <m/>
    <m/>
    <m/>
    <s v="4912881467"/>
  </r>
  <r>
    <s v="E2C1104457"/>
    <d v="2017-01-09T00:00:00"/>
    <s v="22C0309485"/>
    <x v="20"/>
    <x v="0"/>
    <x v="2"/>
    <n v="8239"/>
    <n v="0"/>
    <n v="0"/>
    <n v="0"/>
    <n v="0"/>
    <n v="8239"/>
    <n v="0"/>
    <n v="8239"/>
    <n v="111"/>
    <s v="91 To 120 Days"/>
    <d v="2017-04-30T00:00:00"/>
    <s v="AI"/>
    <m/>
    <m/>
    <m/>
    <m/>
    <m/>
    <m/>
    <s v="4720485254"/>
  </r>
  <r>
    <s v="E2C1113736"/>
    <d v="2017-02-02T00:00:00"/>
    <s v="22C0312943"/>
    <x v="97"/>
    <x v="0"/>
    <x v="14"/>
    <n v="8246"/>
    <n v="0"/>
    <n v="0"/>
    <n v="0"/>
    <n v="8246"/>
    <n v="0"/>
    <n v="0"/>
    <n v="8246"/>
    <n v="87"/>
    <s v="61 To 90 Days"/>
    <d v="2017-04-30T00:00:00"/>
    <s v="AI"/>
    <m/>
    <m/>
    <m/>
    <m/>
    <m/>
    <m/>
    <s v="4570267995"/>
  </r>
  <r>
    <s v="E2C1138818"/>
    <d v="2017-04-12T00:00:00"/>
    <s v="22C0320920"/>
    <x v="10"/>
    <x v="0"/>
    <x v="5"/>
    <n v="8246"/>
    <n v="8246"/>
    <n v="0"/>
    <n v="0"/>
    <n v="0"/>
    <n v="0"/>
    <n v="0"/>
    <n v="0"/>
    <n v="18"/>
    <s v="30 Days"/>
    <d v="2017-04-30T00:00:00"/>
    <s v="AI"/>
    <m/>
    <m/>
    <m/>
    <m/>
    <m/>
    <m/>
    <s v="4912914896"/>
  </r>
  <r>
    <s v="E2C1116343"/>
    <d v="2017-02-10T00:00:00"/>
    <s v="22C0313904"/>
    <x v="155"/>
    <x v="0"/>
    <x v="2"/>
    <n v="8252"/>
    <n v="0"/>
    <n v="0"/>
    <n v="0"/>
    <n v="8252"/>
    <n v="0"/>
    <n v="0"/>
    <n v="8252"/>
    <n v="79"/>
    <s v="61 To 90 Days"/>
    <d v="2017-04-30T00:00:00"/>
    <s v="AI"/>
    <m/>
    <m/>
    <m/>
    <m/>
    <m/>
    <m/>
    <s v="4711228181"/>
  </r>
  <r>
    <s v="E2C1123621"/>
    <d v="2017-03-04T00:00:00"/>
    <s v="22C0316176"/>
    <x v="155"/>
    <x v="0"/>
    <x v="2"/>
    <n v="8252"/>
    <n v="0"/>
    <n v="0"/>
    <n v="8252"/>
    <n v="0"/>
    <n v="0"/>
    <n v="0"/>
    <n v="0"/>
    <n v="57"/>
    <s v="46 To 60 Days"/>
    <d v="2017-04-30T00:00:00"/>
    <s v="AI"/>
    <m/>
    <m/>
    <m/>
    <m/>
    <m/>
    <m/>
    <s v="4711233412"/>
  </r>
  <r>
    <s v="E2C1075904"/>
    <d v="2016-10-19T00:00:00"/>
    <s v="22C0300571"/>
    <x v="36"/>
    <x v="0"/>
    <x v="2"/>
    <n v="8258"/>
    <n v="0"/>
    <n v="0"/>
    <n v="0"/>
    <n v="0"/>
    <n v="0"/>
    <n v="8258"/>
    <n v="8258"/>
    <n v="193"/>
    <s v="Plus120Days"/>
    <d v="2017-04-30T00:00:00"/>
    <s v="AI"/>
    <m/>
    <m/>
    <m/>
    <m/>
    <m/>
    <m/>
    <s v="4600152042"/>
  </r>
  <r>
    <s v="E2C1129411"/>
    <d v="2017-03-21T00:00:00"/>
    <s v="22C0317158"/>
    <x v="28"/>
    <x v="0"/>
    <x v="17"/>
    <n v="8259"/>
    <n v="0"/>
    <n v="8259"/>
    <n v="0"/>
    <n v="0"/>
    <n v="0"/>
    <n v="0"/>
    <n v="0"/>
    <n v="40"/>
    <s v="31 TO 45 Days"/>
    <d v="2017-04-30T00:00:00"/>
    <s v="AI"/>
    <m/>
    <m/>
    <m/>
    <m/>
    <m/>
    <m/>
    <s v="416564160"/>
  </r>
  <r>
    <s v="E2C1128851"/>
    <d v="2017-03-20T00:00:00"/>
    <s v="22C0317428"/>
    <x v="75"/>
    <x v="0"/>
    <x v="9"/>
    <n v="8273"/>
    <n v="0"/>
    <n v="8273"/>
    <n v="0"/>
    <n v="0"/>
    <n v="0"/>
    <n v="0"/>
    <n v="0"/>
    <n v="41"/>
    <s v="31 TO 45 Days"/>
    <d v="2017-04-30T00:00:00"/>
    <s v="AI"/>
    <m/>
    <m/>
    <m/>
    <s v="EDI - Sent"/>
    <d v="2017-03-20T00:00:00"/>
    <s v="EDI successfully sent"/>
    <s v="4760147005"/>
  </r>
  <r>
    <s v="E2C1122718"/>
    <d v="2017-03-01T00:00:00"/>
    <s v="22C0315400"/>
    <x v="75"/>
    <x v="0"/>
    <x v="9"/>
    <n v="8275"/>
    <n v="0"/>
    <n v="0"/>
    <n v="8275"/>
    <n v="0"/>
    <n v="0"/>
    <n v="0"/>
    <n v="0"/>
    <n v="60"/>
    <s v="46 To 60 Days"/>
    <d v="2017-04-30T00:00:00"/>
    <s v="AI"/>
    <m/>
    <m/>
    <m/>
    <s v="EDI - Sent"/>
    <d v="2017-03-02T00:00:00"/>
    <s v="EDI successfully sent"/>
    <s v="4760146589"/>
  </r>
  <r>
    <s v="E2C1106439"/>
    <d v="2017-01-13T00:00:00"/>
    <s v="22C0310615"/>
    <x v="7"/>
    <x v="0"/>
    <x v="4"/>
    <n v="8288"/>
    <n v="0"/>
    <n v="0"/>
    <n v="0"/>
    <n v="0"/>
    <n v="8288"/>
    <n v="0"/>
    <n v="8288"/>
    <n v="107"/>
    <s v="91 To 120 Days"/>
    <d v="2017-04-30T00:00:00"/>
    <s v="AI"/>
    <m/>
    <m/>
    <m/>
    <s v="EDI - Sent"/>
    <m/>
    <m/>
    <s v="4210170687"/>
  </r>
  <r>
    <s v="E2C1119353"/>
    <d v="2017-02-21T00:00:00"/>
    <s v="22C0314366"/>
    <x v="155"/>
    <x v="0"/>
    <x v="2"/>
    <n v="8294"/>
    <n v="0"/>
    <n v="0"/>
    <n v="0"/>
    <n v="8294"/>
    <n v="0"/>
    <n v="0"/>
    <n v="8294"/>
    <n v="68"/>
    <s v="61 To 90 Days"/>
    <d v="2017-04-30T00:00:00"/>
    <s v="AI"/>
    <m/>
    <m/>
    <m/>
    <m/>
    <m/>
    <m/>
    <s v="4711228824"/>
  </r>
  <r>
    <s v="E2C1113424"/>
    <d v="2017-02-01T00:00:00"/>
    <s v="22C0312358"/>
    <x v="81"/>
    <x v="0"/>
    <x v="3"/>
    <n v="8309"/>
    <n v="0"/>
    <n v="0"/>
    <n v="0"/>
    <n v="8309"/>
    <n v="0"/>
    <n v="0"/>
    <n v="8309"/>
    <n v="88"/>
    <s v="61 To 90 Days"/>
    <d v="2017-04-30T00:00:00"/>
    <s v="AI"/>
    <m/>
    <m/>
    <m/>
    <s v="EDI - Sent"/>
    <d v="2017-02-01T00:00:00"/>
    <s v="EDI successfully sent"/>
    <s v="419164974"/>
  </r>
  <r>
    <s v="E2C1121880"/>
    <d v="2017-02-28T00:00:00"/>
    <s v="22C0315455"/>
    <x v="7"/>
    <x v="0"/>
    <x v="4"/>
    <n v="8313"/>
    <n v="0"/>
    <n v="0"/>
    <n v="0"/>
    <n v="8313"/>
    <n v="0"/>
    <n v="0"/>
    <n v="8313"/>
    <n v="61"/>
    <s v="61 To 90 Days"/>
    <d v="2017-04-30T00:00:00"/>
    <s v="AI"/>
    <m/>
    <m/>
    <m/>
    <s v="EDI - Sent"/>
    <d v="2017-03-02T00:00:00"/>
    <s v="EDI successfully sent"/>
    <s v="4480467371"/>
  </r>
  <r>
    <s v="E2C1132316"/>
    <d v="2017-03-28T00:00:00"/>
    <s v="22C0317056"/>
    <x v="7"/>
    <x v="0"/>
    <x v="4"/>
    <n v="8329"/>
    <n v="0"/>
    <n v="8329"/>
    <n v="0"/>
    <n v="0"/>
    <n v="0"/>
    <n v="0"/>
    <n v="0"/>
    <n v="33"/>
    <s v="31 TO 45 Days"/>
    <d v="2017-04-30T00:00:00"/>
    <s v="AI"/>
    <m/>
    <m/>
    <m/>
    <s v="EDI - Sent"/>
    <d v="2017-03-28T00:00:00"/>
    <s v="EDI successfully sent"/>
    <s v="4711235029"/>
  </r>
  <r>
    <s v="E2C1122267"/>
    <d v="2017-02-28T00:00:00"/>
    <s v="22C0315496"/>
    <x v="155"/>
    <x v="0"/>
    <x v="2"/>
    <n v="8332"/>
    <n v="0"/>
    <n v="0"/>
    <n v="0"/>
    <n v="8332"/>
    <n v="0"/>
    <n v="0"/>
    <n v="8332"/>
    <n v="61"/>
    <s v="61 To 90 Days"/>
    <d v="2017-04-30T00:00:00"/>
    <s v="AI"/>
    <m/>
    <m/>
    <m/>
    <m/>
    <m/>
    <m/>
    <s v="4711231926"/>
  </r>
  <r>
    <s v="E2C1119357"/>
    <d v="2017-02-21T00:00:00"/>
    <s v="22C0314369"/>
    <x v="155"/>
    <x v="0"/>
    <x v="2"/>
    <n v="8338"/>
    <n v="0"/>
    <n v="0"/>
    <n v="0"/>
    <n v="8338"/>
    <n v="0"/>
    <n v="0"/>
    <n v="8338"/>
    <n v="68"/>
    <s v="61 To 90 Days"/>
    <d v="2017-04-30T00:00:00"/>
    <s v="AI"/>
    <m/>
    <m/>
    <m/>
    <m/>
    <m/>
    <m/>
    <s v="4711228853"/>
  </r>
  <r>
    <s v="E2C1111779"/>
    <d v="2017-01-30T00:00:00"/>
    <s v="22C0312475"/>
    <x v="15"/>
    <x v="0"/>
    <x v="8"/>
    <n v="8341"/>
    <n v="0"/>
    <n v="0"/>
    <n v="0"/>
    <n v="8341"/>
    <n v="0"/>
    <n v="0"/>
    <n v="8341"/>
    <n v="90"/>
    <s v="61 To 90 Days"/>
    <d v="2017-04-30T00:00:00"/>
    <s v="AI"/>
    <m/>
    <m/>
    <m/>
    <m/>
    <m/>
    <m/>
    <s v="4711225327"/>
  </r>
  <r>
    <s v="E2C1138093"/>
    <d v="2017-04-11T00:00:00"/>
    <s v="22C0321024"/>
    <x v="15"/>
    <x v="0"/>
    <x v="8"/>
    <n v="8366"/>
    <n v="8366"/>
    <n v="0"/>
    <n v="0"/>
    <n v="0"/>
    <n v="0"/>
    <n v="0"/>
    <n v="0"/>
    <n v="19"/>
    <s v="30 Days"/>
    <d v="2017-04-30T00:00:00"/>
    <s v="AI"/>
    <m/>
    <m/>
    <m/>
    <m/>
    <m/>
    <m/>
    <s v="4540131819"/>
  </r>
  <r>
    <s v="E2C1120420"/>
    <d v="2017-02-24T00:00:00"/>
    <s v="22C0315183"/>
    <x v="155"/>
    <x v="0"/>
    <x v="2"/>
    <n v="8371"/>
    <n v="0"/>
    <n v="0"/>
    <n v="0"/>
    <n v="8371"/>
    <n v="0"/>
    <n v="0"/>
    <n v="8371"/>
    <n v="65"/>
    <s v="61 To 90 Days"/>
    <d v="2017-04-30T00:00:00"/>
    <s v="AI"/>
    <m/>
    <m/>
    <m/>
    <m/>
    <m/>
    <m/>
    <s v="4711231202"/>
  </r>
  <r>
    <s v="E2C1129480"/>
    <d v="2017-03-21T00:00:00"/>
    <s v="22C0317793"/>
    <x v="155"/>
    <x v="0"/>
    <x v="2"/>
    <n v="8380"/>
    <n v="0"/>
    <n v="8380"/>
    <n v="0"/>
    <n v="0"/>
    <n v="0"/>
    <n v="0"/>
    <n v="0"/>
    <n v="40"/>
    <s v="31 TO 45 Days"/>
    <d v="2017-04-30T00:00:00"/>
    <s v="AI"/>
    <m/>
    <m/>
    <m/>
    <m/>
    <m/>
    <m/>
    <s v="4711236233"/>
  </r>
  <r>
    <s v="E2C1119323"/>
    <d v="2017-02-21T00:00:00"/>
    <s v="22C0313598"/>
    <x v="28"/>
    <x v="0"/>
    <x v="17"/>
    <n v="8382"/>
    <n v="0"/>
    <n v="0"/>
    <n v="0"/>
    <n v="8382"/>
    <n v="0"/>
    <n v="0"/>
    <n v="8382"/>
    <n v="68"/>
    <s v="61 To 90 Days"/>
    <d v="2017-04-30T00:00:00"/>
    <s v="AI"/>
    <m/>
    <m/>
    <m/>
    <m/>
    <m/>
    <m/>
    <s v="4711227354"/>
  </r>
  <r>
    <s v="E2C1119336"/>
    <d v="2017-02-21T00:00:00"/>
    <s v="22C0313601"/>
    <x v="155"/>
    <x v="0"/>
    <x v="2"/>
    <n v="8382"/>
    <n v="0"/>
    <n v="0"/>
    <n v="0"/>
    <n v="8382"/>
    <n v="0"/>
    <n v="0"/>
    <n v="8382"/>
    <n v="68"/>
    <s v="61 To 90 Days"/>
    <d v="2017-04-30T00:00:00"/>
    <s v="AI"/>
    <m/>
    <m/>
    <m/>
    <m/>
    <m/>
    <m/>
    <s v="4711227367"/>
  </r>
  <r>
    <s v="E2C1130568"/>
    <d v="2017-03-23T00:00:00"/>
    <s v="22C0318237"/>
    <x v="140"/>
    <x v="0"/>
    <x v="29"/>
    <n v="8386"/>
    <n v="0"/>
    <n v="8386"/>
    <n v="0"/>
    <n v="0"/>
    <n v="0"/>
    <n v="0"/>
    <n v="0"/>
    <n v="38"/>
    <s v="31 TO 45 Days"/>
    <d v="2017-04-30T00:00:00"/>
    <s v="AI"/>
    <n v="125.94"/>
    <s v="USD"/>
    <m/>
    <s v="EDI - Sent"/>
    <d v="2017-03-24T00:00:00"/>
    <s v="EDI successfully sent"/>
    <s v="4912898876"/>
  </r>
  <r>
    <s v="E2C1118125"/>
    <d v="2017-02-17T00:00:00"/>
    <s v="22C0314660"/>
    <x v="155"/>
    <x v="0"/>
    <x v="2"/>
    <n v="8394"/>
    <n v="0"/>
    <n v="0"/>
    <n v="0"/>
    <n v="8394"/>
    <n v="0"/>
    <n v="0"/>
    <n v="8394"/>
    <n v="72"/>
    <s v="61 To 90 Days"/>
    <d v="2017-04-30T00:00:00"/>
    <s v="AI"/>
    <m/>
    <m/>
    <m/>
    <m/>
    <m/>
    <m/>
    <s v="4711229488"/>
  </r>
  <r>
    <s v="E2C1116671"/>
    <d v="2017-02-13T00:00:00"/>
    <s v="22C0313970"/>
    <x v="36"/>
    <x v="0"/>
    <x v="2"/>
    <n v="8402"/>
    <n v="0"/>
    <n v="0"/>
    <n v="0"/>
    <n v="8402"/>
    <n v="0"/>
    <n v="0"/>
    <n v="8402"/>
    <n v="76"/>
    <s v="61 To 90 Days"/>
    <d v="2017-04-30T00:00:00"/>
    <s v="AI"/>
    <m/>
    <m/>
    <m/>
    <m/>
    <m/>
    <m/>
    <s v="4930434230"/>
  </r>
  <r>
    <s v="E2C1137047"/>
    <d v="2017-04-07T00:00:00"/>
    <s v="22C0320558"/>
    <x v="155"/>
    <x v="0"/>
    <x v="2"/>
    <n v="8406"/>
    <n v="8406"/>
    <n v="0"/>
    <n v="0"/>
    <n v="0"/>
    <n v="0"/>
    <n v="0"/>
    <n v="0"/>
    <n v="23"/>
    <s v="30 Days"/>
    <d v="2017-04-30T00:00:00"/>
    <s v="AI"/>
    <m/>
    <m/>
    <m/>
    <m/>
    <m/>
    <m/>
    <s v="4711242152"/>
  </r>
  <r>
    <s v="E2C1138194"/>
    <d v="2017-04-11T00:00:00"/>
    <s v="22C0320129"/>
    <x v="159"/>
    <x v="0"/>
    <x v="2"/>
    <n v="8410"/>
    <n v="8410"/>
    <n v="0"/>
    <n v="0"/>
    <n v="0"/>
    <n v="0"/>
    <n v="0"/>
    <n v="0"/>
    <n v="19"/>
    <s v="30 Days"/>
    <d v="2017-04-30T00:00:00"/>
    <s v="AI"/>
    <m/>
    <m/>
    <m/>
    <m/>
    <m/>
    <m/>
    <s v="4320103748"/>
  </r>
  <r>
    <s v="E2C1130130"/>
    <d v="2017-03-22T00:00:00"/>
    <s v="22C0318669"/>
    <x v="155"/>
    <x v="0"/>
    <x v="2"/>
    <n v="8417"/>
    <n v="0"/>
    <n v="8417"/>
    <n v="0"/>
    <n v="0"/>
    <n v="0"/>
    <n v="0"/>
    <n v="0"/>
    <n v="39"/>
    <s v="31 TO 45 Days"/>
    <d v="2017-04-30T00:00:00"/>
    <s v="AI"/>
    <m/>
    <m/>
    <m/>
    <m/>
    <m/>
    <m/>
    <s v="4711238341"/>
  </r>
  <r>
    <s v="E2C1107471"/>
    <d v="2017-01-18T00:00:00"/>
    <s v="22C0310469"/>
    <x v="61"/>
    <x v="0"/>
    <x v="2"/>
    <n v="8419"/>
    <n v="0"/>
    <n v="0"/>
    <n v="0"/>
    <n v="0"/>
    <n v="8419"/>
    <n v="0"/>
    <n v="8419"/>
    <n v="102"/>
    <s v="91 To 120 Days"/>
    <d v="2017-04-30T00:00:00"/>
    <s v="AI"/>
    <m/>
    <m/>
    <m/>
    <m/>
    <m/>
    <m/>
    <s v="4711221887"/>
  </r>
  <r>
    <s v="E2C1129494"/>
    <d v="2017-03-21T00:00:00"/>
    <s v="22C0318315"/>
    <x v="155"/>
    <x v="0"/>
    <x v="2"/>
    <n v="8422"/>
    <n v="0"/>
    <n v="8422"/>
    <n v="0"/>
    <n v="0"/>
    <n v="0"/>
    <n v="0"/>
    <n v="0"/>
    <n v="40"/>
    <s v="31 TO 45 Days"/>
    <d v="2017-04-30T00:00:00"/>
    <s v="AI"/>
    <m/>
    <m/>
    <m/>
    <m/>
    <m/>
    <m/>
    <s v="4711237360"/>
  </r>
  <r>
    <s v="E2C1131913"/>
    <d v="2017-03-27T00:00:00"/>
    <s v="22C0317717"/>
    <x v="36"/>
    <x v="0"/>
    <x v="2"/>
    <n v="8470"/>
    <n v="0"/>
    <n v="8470"/>
    <n v="0"/>
    <n v="0"/>
    <n v="0"/>
    <n v="0"/>
    <n v="0"/>
    <n v="34"/>
    <s v="31 TO 45 Days"/>
    <d v="2017-04-30T00:00:00"/>
    <s v="AI"/>
    <m/>
    <m/>
    <m/>
    <m/>
    <m/>
    <m/>
    <s v="4940188937"/>
  </r>
  <r>
    <s v="E2C1134194"/>
    <d v="2017-03-31T00:00:00"/>
    <s v="22C0319708"/>
    <x v="69"/>
    <x v="0"/>
    <x v="2"/>
    <n v="8472"/>
    <n v="8472"/>
    <n v="0"/>
    <n v="0"/>
    <n v="0"/>
    <n v="0"/>
    <n v="0"/>
    <n v="0"/>
    <n v="30"/>
    <s v="30 Days"/>
    <d v="2017-04-30T00:00:00"/>
    <s v="AI"/>
    <m/>
    <m/>
    <m/>
    <m/>
    <m/>
    <m/>
    <s v="4395871755"/>
  </r>
  <r>
    <s v="E2C1128351"/>
    <d v="2017-03-18T00:00:00"/>
    <s v="22C0317485"/>
    <x v="70"/>
    <x v="0"/>
    <x v="7"/>
    <n v="8475"/>
    <n v="0"/>
    <n v="8475"/>
    <n v="0"/>
    <n v="0"/>
    <n v="0"/>
    <n v="0"/>
    <n v="0"/>
    <n v="43"/>
    <s v="31 TO 45 Days"/>
    <d v="2017-04-30T00:00:00"/>
    <s v="AI"/>
    <m/>
    <m/>
    <m/>
    <m/>
    <m/>
    <m/>
    <s v="4540130939"/>
  </r>
  <r>
    <s v="E2C1098610"/>
    <d v="2016-12-24T00:00:00"/>
    <s v="22C0308716"/>
    <x v="7"/>
    <x v="0"/>
    <x v="4"/>
    <n v="8479"/>
    <n v="0"/>
    <n v="0"/>
    <n v="0"/>
    <n v="0"/>
    <n v="0"/>
    <n v="8479"/>
    <n v="8479"/>
    <n v="127"/>
    <s v="Plus120Days"/>
    <d v="2017-04-30T00:00:00"/>
    <s v="AI"/>
    <m/>
    <m/>
    <m/>
    <s v="EDI - Sent"/>
    <m/>
    <m/>
    <s v="423608964"/>
  </r>
  <r>
    <s v="E2C1122285"/>
    <d v="2017-02-28T00:00:00"/>
    <s v="22C0315499"/>
    <x v="155"/>
    <x v="0"/>
    <x v="2"/>
    <n v="8486"/>
    <n v="0"/>
    <n v="0"/>
    <n v="0"/>
    <n v="8486"/>
    <n v="0"/>
    <n v="0"/>
    <n v="8486"/>
    <n v="61"/>
    <s v="61 To 90 Days"/>
    <d v="2017-04-30T00:00:00"/>
    <s v="AI"/>
    <m/>
    <m/>
    <m/>
    <m/>
    <m/>
    <m/>
    <s v="4711231963"/>
  </r>
  <r>
    <s v="E2C1135134"/>
    <d v="2017-04-01T00:00:00"/>
    <s v="22C0319995"/>
    <x v="155"/>
    <x v="0"/>
    <x v="2"/>
    <n v="8494"/>
    <n v="8494"/>
    <n v="0"/>
    <n v="0"/>
    <n v="0"/>
    <n v="0"/>
    <n v="0"/>
    <n v="0"/>
    <n v="29"/>
    <s v="30 Days"/>
    <d v="2017-04-30T00:00:00"/>
    <s v="AI"/>
    <m/>
    <m/>
    <m/>
    <m/>
    <m/>
    <m/>
    <s v="4711240565"/>
  </r>
  <r>
    <s v="E2C1104843"/>
    <d v="2017-01-10T00:00:00"/>
    <s v="22C0310370"/>
    <x v="28"/>
    <x v="0"/>
    <x v="17"/>
    <n v="8495"/>
    <n v="0"/>
    <n v="0"/>
    <n v="0"/>
    <n v="0"/>
    <n v="8495"/>
    <n v="0"/>
    <n v="8495"/>
    <n v="110"/>
    <s v="91 To 120 Days"/>
    <d v="2017-04-30T00:00:00"/>
    <s v="AI"/>
    <m/>
    <m/>
    <m/>
    <m/>
    <m/>
    <m/>
    <s v="4600155411"/>
  </r>
  <r>
    <s v="E2C1108817"/>
    <d v="2017-01-20T00:00:00"/>
    <s v="22C0311121"/>
    <x v="160"/>
    <x v="0"/>
    <x v="14"/>
    <n v="8502"/>
    <n v="0"/>
    <n v="0"/>
    <n v="0"/>
    <n v="0"/>
    <n v="8502"/>
    <n v="0"/>
    <n v="8502"/>
    <n v="100"/>
    <s v="91 To 120 Days"/>
    <d v="2017-04-30T00:00:00"/>
    <s v="AI"/>
    <m/>
    <m/>
    <m/>
    <m/>
    <m/>
    <m/>
    <s v="4600155747"/>
  </r>
  <r>
    <s v="E2C1118636"/>
    <d v="2017-02-18T00:00:00"/>
    <s v="22C0314373"/>
    <x v="24"/>
    <x v="0"/>
    <x v="16"/>
    <n v="8516"/>
    <n v="0"/>
    <n v="0"/>
    <n v="0"/>
    <n v="8516"/>
    <n v="0"/>
    <n v="0"/>
    <n v="8516"/>
    <n v="71"/>
    <s v="61 To 90 Days"/>
    <d v="2017-04-30T00:00:00"/>
    <s v="AI"/>
    <m/>
    <m/>
    <m/>
    <m/>
    <m/>
    <m/>
    <s v="4912875510"/>
  </r>
  <r>
    <s v="E2C1129120"/>
    <d v="2017-03-20T00:00:00"/>
    <s v="22C0317714"/>
    <x v="140"/>
    <x v="0"/>
    <x v="29"/>
    <n v="8528"/>
    <n v="0"/>
    <n v="8528"/>
    <n v="0"/>
    <n v="0"/>
    <n v="0"/>
    <n v="0"/>
    <n v="0"/>
    <n v="41"/>
    <s v="31 TO 45 Days"/>
    <d v="2017-04-30T00:00:00"/>
    <s v="AI"/>
    <n v="128.01"/>
    <s v="USD"/>
    <m/>
    <s v="EDI - Sent"/>
    <d v="2017-03-20T00:00:00"/>
    <s v="EDI successfully sent"/>
    <s v="4912896885"/>
  </r>
  <r>
    <s v="E2C1135881"/>
    <d v="2017-04-04T00:00:00"/>
    <s v="22C0320047"/>
    <x v="140"/>
    <x v="0"/>
    <x v="29"/>
    <n v="8529"/>
    <n v="8529"/>
    <n v="0"/>
    <n v="0"/>
    <n v="0"/>
    <n v="0"/>
    <n v="0"/>
    <n v="0"/>
    <n v="26"/>
    <s v="30 Days"/>
    <d v="2017-04-30T00:00:00"/>
    <s v="AI"/>
    <n v="129.32"/>
    <s v="USD"/>
    <m/>
    <s v="EDI - Sent"/>
    <d v="2017-04-05T00:00:00"/>
    <s v="EDI successfully sent"/>
    <s v="4912910849"/>
  </r>
  <r>
    <s v="E2C1124920"/>
    <d v="2017-03-08T00:00:00"/>
    <s v="22C0316691"/>
    <x v="7"/>
    <x v="0"/>
    <x v="4"/>
    <n v="8534"/>
    <n v="0"/>
    <n v="0"/>
    <n v="8534"/>
    <n v="0"/>
    <n v="0"/>
    <n v="0"/>
    <n v="0"/>
    <n v="53"/>
    <s v="46 To 60 Days"/>
    <d v="2017-04-30T00:00:00"/>
    <s v="AI"/>
    <m/>
    <m/>
    <m/>
    <s v="EDI - Sent"/>
    <d v="2017-03-08T00:00:00"/>
    <s v="EDI successfully sent"/>
    <s v="4060584884"/>
  </r>
  <r>
    <s v="E2C1115447"/>
    <d v="2017-02-08T00:00:00"/>
    <s v="22C0313357"/>
    <x v="1"/>
    <x v="0"/>
    <x v="1"/>
    <n v="8544"/>
    <n v="0"/>
    <n v="0"/>
    <n v="0"/>
    <n v="8544"/>
    <n v="0"/>
    <n v="0"/>
    <n v="8544"/>
    <n v="81"/>
    <s v="61 To 90 Days"/>
    <d v="2017-04-30T00:00:00"/>
    <s v="AI"/>
    <m/>
    <m/>
    <m/>
    <m/>
    <m/>
    <m/>
    <s v="4540129929"/>
  </r>
  <r>
    <s v="E2C1119340"/>
    <d v="2017-02-21T00:00:00"/>
    <s v="22C0314147"/>
    <x v="155"/>
    <x v="0"/>
    <x v="2"/>
    <n v="8558"/>
    <n v="0"/>
    <n v="0"/>
    <n v="0"/>
    <n v="8558"/>
    <n v="0"/>
    <n v="0"/>
    <n v="8558"/>
    <n v="68"/>
    <s v="61 To 90 Days"/>
    <d v="2017-04-30T00:00:00"/>
    <s v="AI"/>
    <m/>
    <m/>
    <m/>
    <m/>
    <m/>
    <m/>
    <s v="4711228486"/>
  </r>
  <r>
    <s v="E2C1132339"/>
    <d v="2017-03-28T00:00:00"/>
    <s v="22C0319165"/>
    <x v="54"/>
    <x v="0"/>
    <x v="2"/>
    <n v="8562"/>
    <n v="0"/>
    <n v="8562"/>
    <n v="0"/>
    <n v="0"/>
    <n v="0"/>
    <n v="0"/>
    <n v="0"/>
    <n v="33"/>
    <s v="31 TO 45 Days"/>
    <d v="2017-04-30T00:00:00"/>
    <s v="AI"/>
    <m/>
    <m/>
    <m/>
    <m/>
    <m/>
    <m/>
    <s v="416564460"/>
  </r>
  <r>
    <s v="E2C1124923"/>
    <d v="2017-03-08T00:00:00"/>
    <s v="22C0316692"/>
    <x v="7"/>
    <x v="0"/>
    <x v="4"/>
    <n v="8572"/>
    <n v="0"/>
    <n v="0"/>
    <n v="8572"/>
    <n v="0"/>
    <n v="0"/>
    <n v="0"/>
    <n v="0"/>
    <n v="53"/>
    <s v="46 To 60 Days"/>
    <d v="2017-04-30T00:00:00"/>
    <s v="AI"/>
    <m/>
    <m/>
    <m/>
    <s v="EDI - Sent"/>
    <d v="2017-03-08T00:00:00"/>
    <s v="EDI successfully sent"/>
    <s v="4060584889"/>
  </r>
  <r>
    <s v="E2C1122478"/>
    <d v="2017-02-28T00:00:00"/>
    <s v="22C0315708"/>
    <x v="161"/>
    <x v="0"/>
    <x v="2"/>
    <n v="8588"/>
    <n v="0"/>
    <n v="0"/>
    <n v="0"/>
    <n v="8588"/>
    <n v="0"/>
    <n v="0"/>
    <n v="8588"/>
    <n v="61"/>
    <s v="61 To 90 Days"/>
    <d v="2017-04-30T00:00:00"/>
    <s v="AI"/>
    <m/>
    <m/>
    <m/>
    <m/>
    <m/>
    <m/>
    <s v="4540130552"/>
  </r>
  <r>
    <s v="E2C1129496"/>
    <d v="2017-03-21T00:00:00"/>
    <s v="22C0318316"/>
    <x v="155"/>
    <x v="0"/>
    <x v="2"/>
    <n v="8594"/>
    <n v="0"/>
    <n v="8594"/>
    <n v="0"/>
    <n v="0"/>
    <n v="0"/>
    <n v="0"/>
    <n v="0"/>
    <n v="40"/>
    <s v="31 TO 45 Days"/>
    <d v="2017-04-30T00:00:00"/>
    <s v="AI"/>
    <m/>
    <m/>
    <m/>
    <m/>
    <m/>
    <m/>
    <s v="4711237363"/>
  </r>
  <r>
    <s v="E2C1126505"/>
    <d v="2017-03-14T00:00:00"/>
    <s v="22C0316006"/>
    <x v="7"/>
    <x v="0"/>
    <x v="4"/>
    <n v="8611"/>
    <n v="0"/>
    <n v="0"/>
    <n v="8611"/>
    <n v="0"/>
    <n v="0"/>
    <n v="0"/>
    <n v="0"/>
    <n v="47"/>
    <s v="46 To 60 Days"/>
    <d v="2017-04-30T00:00:00"/>
    <s v="AI"/>
    <m/>
    <m/>
    <m/>
    <s v="EDI - Sent"/>
    <d v="2017-03-14T00:00:00"/>
    <s v="EDI successfully sent"/>
    <s v="4570269306"/>
  </r>
  <r>
    <s v="E2C1121190"/>
    <d v="2017-02-27T00:00:00"/>
    <s v="22C0315165"/>
    <x v="53"/>
    <x v="0"/>
    <x v="1"/>
    <n v="8617"/>
    <n v="0"/>
    <n v="0"/>
    <n v="0"/>
    <n v="8617"/>
    <n v="0"/>
    <n v="0"/>
    <n v="8617"/>
    <n v="62"/>
    <s v="61 To 90 Days"/>
    <d v="2017-04-30T00:00:00"/>
    <s v="AI"/>
    <m/>
    <m/>
    <m/>
    <m/>
    <m/>
    <m/>
    <s v="4400188472"/>
  </r>
  <r>
    <s v="E2C1135133"/>
    <d v="2017-04-01T00:00:00"/>
    <s v="22C0319502"/>
    <x v="75"/>
    <x v="0"/>
    <x v="9"/>
    <n v="8623"/>
    <n v="8623"/>
    <n v="0"/>
    <n v="0"/>
    <n v="0"/>
    <n v="0"/>
    <n v="0"/>
    <n v="0"/>
    <n v="29"/>
    <s v="30 Days"/>
    <d v="2017-04-30T00:00:00"/>
    <s v="AI"/>
    <m/>
    <m/>
    <m/>
    <s v="EDI - Sent"/>
    <d v="2017-04-03T00:00:00"/>
    <s v="EDI successfully sent"/>
    <s v="4071590392"/>
  </r>
  <r>
    <s v="E2C1123617"/>
    <d v="2017-03-04T00:00:00"/>
    <s v="22C0316175"/>
    <x v="155"/>
    <x v="0"/>
    <x v="2"/>
    <n v="8624"/>
    <n v="0"/>
    <n v="0"/>
    <n v="8624"/>
    <n v="0"/>
    <n v="0"/>
    <n v="0"/>
    <n v="0"/>
    <n v="57"/>
    <s v="46 To 60 Days"/>
    <d v="2017-04-30T00:00:00"/>
    <s v="AI"/>
    <m/>
    <m/>
    <m/>
    <m/>
    <m/>
    <m/>
    <s v="4711233408"/>
  </r>
  <r>
    <s v="E2C1139305"/>
    <d v="2017-04-13T00:00:00"/>
    <s v="22C0321260"/>
    <x v="7"/>
    <x v="0"/>
    <x v="4"/>
    <n v="8632"/>
    <n v="8632"/>
    <n v="0"/>
    <n v="0"/>
    <n v="0"/>
    <n v="0"/>
    <n v="0"/>
    <n v="0"/>
    <n v="17"/>
    <s v="30 Days"/>
    <d v="2017-04-30T00:00:00"/>
    <s v="AI"/>
    <m/>
    <m/>
    <m/>
    <s v="EDI - Sent"/>
    <d v="2017-04-13T00:00:00"/>
    <s v="EDI successfully sent"/>
    <s v="4720491472"/>
  </r>
  <r>
    <s v="E2C1123040"/>
    <d v="2017-03-02T00:00:00"/>
    <s v="22C0316031"/>
    <x v="155"/>
    <x v="0"/>
    <x v="2"/>
    <n v="8635"/>
    <n v="0"/>
    <n v="0"/>
    <n v="8635"/>
    <n v="0"/>
    <n v="0"/>
    <n v="0"/>
    <n v="0"/>
    <n v="59"/>
    <s v="46 To 60 Days"/>
    <d v="2017-04-30T00:00:00"/>
    <s v="AI"/>
    <m/>
    <m/>
    <m/>
    <m/>
    <m/>
    <m/>
    <s v="4711232778"/>
  </r>
  <r>
    <s v="E2C1130308"/>
    <d v="2017-03-23T00:00:00"/>
    <s v="22C0318567"/>
    <x v="162"/>
    <x v="0"/>
    <x v="7"/>
    <n v="8646"/>
    <n v="0"/>
    <n v="8646"/>
    <n v="0"/>
    <n v="0"/>
    <n v="0"/>
    <n v="0"/>
    <n v="0"/>
    <n v="38"/>
    <s v="31 TO 45 Days"/>
    <d v="2017-04-30T00:00:00"/>
    <s v="AI"/>
    <m/>
    <m/>
    <m/>
    <m/>
    <m/>
    <m/>
    <s v="4912901064"/>
  </r>
  <r>
    <s v="E2C1132473"/>
    <d v="2017-03-28T00:00:00"/>
    <s v="22C0317500"/>
    <x v="7"/>
    <x v="0"/>
    <x v="4"/>
    <n v="8655"/>
    <n v="0"/>
    <n v="8655"/>
    <n v="0"/>
    <n v="0"/>
    <n v="0"/>
    <n v="0"/>
    <n v="0"/>
    <n v="33"/>
    <s v="31 TO 45 Days"/>
    <d v="2017-04-30T00:00:00"/>
    <s v="AI"/>
    <m/>
    <m/>
    <m/>
    <s v="EDI - Sent"/>
    <d v="2017-03-28T00:00:00"/>
    <s v="EDI successfully sent"/>
    <s v="4400189243"/>
  </r>
  <r>
    <s v="E2C1107036"/>
    <d v="2017-01-17T00:00:00"/>
    <s v="22C0311101"/>
    <x v="7"/>
    <x v="0"/>
    <x v="4"/>
    <n v="8657"/>
    <n v="0"/>
    <n v="0"/>
    <n v="0"/>
    <n v="0"/>
    <n v="8657"/>
    <n v="0"/>
    <n v="8657"/>
    <n v="103"/>
    <s v="91 To 120 Days"/>
    <d v="2017-04-30T00:00:00"/>
    <s v="AI"/>
    <m/>
    <m/>
    <m/>
    <s v="EDI - Sent"/>
    <m/>
    <m/>
    <s v="4210170688"/>
  </r>
  <r>
    <s v="E2C1122790"/>
    <d v="2017-03-01T00:00:00"/>
    <s v="22C0315683"/>
    <x v="97"/>
    <x v="0"/>
    <x v="14"/>
    <n v="8667"/>
    <n v="0"/>
    <n v="0"/>
    <n v="8667"/>
    <n v="0"/>
    <n v="0"/>
    <n v="0"/>
    <n v="0"/>
    <n v="60"/>
    <s v="46 To 60 Days"/>
    <d v="2017-04-30T00:00:00"/>
    <s v="AI"/>
    <m/>
    <m/>
    <m/>
    <m/>
    <m/>
    <m/>
    <s v="4711232045"/>
  </r>
  <r>
    <s v="E2C1137487"/>
    <d v="2017-04-10T00:00:00"/>
    <s v="22C0321053"/>
    <x v="1"/>
    <x v="0"/>
    <x v="1"/>
    <n v="8669"/>
    <n v="8669"/>
    <n v="0"/>
    <n v="0"/>
    <n v="0"/>
    <n v="0"/>
    <n v="0"/>
    <n v="0"/>
    <n v="20"/>
    <s v="30 Days"/>
    <d v="2017-04-30T00:00:00"/>
    <s v="AI"/>
    <m/>
    <m/>
    <m/>
    <m/>
    <m/>
    <m/>
    <s v="4540131693"/>
  </r>
  <r>
    <s v="E2C1113974"/>
    <d v="2017-02-03T00:00:00"/>
    <s v="22C0313157"/>
    <x v="28"/>
    <x v="0"/>
    <x v="17"/>
    <n v="8670"/>
    <n v="0"/>
    <n v="0"/>
    <n v="0"/>
    <n v="8670"/>
    <n v="0"/>
    <n v="0"/>
    <n v="8670"/>
    <n v="86"/>
    <s v="61 To 90 Days"/>
    <d v="2017-04-30T00:00:00"/>
    <s v="AI"/>
    <m/>
    <m/>
    <m/>
    <m/>
    <m/>
    <m/>
    <s v="4711226807"/>
  </r>
  <r>
    <s v="E2C1115326"/>
    <d v="2017-02-08T00:00:00"/>
    <s v="22C0313375"/>
    <x v="61"/>
    <x v="0"/>
    <x v="2"/>
    <n v="8670"/>
    <n v="0"/>
    <n v="0"/>
    <n v="0"/>
    <n v="8670"/>
    <n v="0"/>
    <n v="0"/>
    <n v="8670"/>
    <n v="81"/>
    <s v="61 To 90 Days"/>
    <d v="2017-04-30T00:00:00"/>
    <s v="AI"/>
    <m/>
    <m/>
    <m/>
    <m/>
    <m/>
    <m/>
    <s v="4711226883"/>
  </r>
  <r>
    <s v="E2C1139452"/>
    <d v="2017-04-13T00:00:00"/>
    <s v="22C0321477"/>
    <x v="139"/>
    <x v="0"/>
    <x v="2"/>
    <n v="8672"/>
    <n v="8672"/>
    <n v="0"/>
    <n v="0"/>
    <n v="0"/>
    <n v="0"/>
    <n v="0"/>
    <n v="0"/>
    <n v="17"/>
    <s v="30 Days"/>
    <d v="2017-04-30T00:00:00"/>
    <s v="AI"/>
    <m/>
    <m/>
    <m/>
    <m/>
    <m/>
    <m/>
    <s v="4912922540"/>
  </r>
  <r>
    <s v="E2C1129491"/>
    <d v="2017-03-21T00:00:00"/>
    <s v="22C0318042"/>
    <x v="155"/>
    <x v="0"/>
    <x v="2"/>
    <n v="8678"/>
    <n v="0"/>
    <n v="8678"/>
    <n v="0"/>
    <n v="0"/>
    <n v="0"/>
    <n v="0"/>
    <n v="0"/>
    <n v="40"/>
    <s v="31 TO 45 Days"/>
    <d v="2017-04-30T00:00:00"/>
    <s v="AI"/>
    <m/>
    <m/>
    <m/>
    <m/>
    <m/>
    <m/>
    <s v="4711236960"/>
  </r>
  <r>
    <s v="E2C1129416"/>
    <d v="2017-03-21T00:00:00"/>
    <s v="22C0317455"/>
    <x v="28"/>
    <x v="0"/>
    <x v="17"/>
    <n v="8680"/>
    <n v="0"/>
    <n v="8680"/>
    <n v="0"/>
    <n v="0"/>
    <n v="0"/>
    <n v="0"/>
    <n v="0"/>
    <n v="40"/>
    <s v="31 TO 45 Days"/>
    <d v="2017-04-30T00:00:00"/>
    <s v="AI"/>
    <m/>
    <m/>
    <m/>
    <m/>
    <m/>
    <m/>
    <s v="4395859560"/>
  </r>
  <r>
    <s v="E2C1132324"/>
    <d v="2017-03-28T00:00:00"/>
    <s v="22C0319372"/>
    <x v="16"/>
    <x v="0"/>
    <x v="9"/>
    <n v="8682"/>
    <n v="0"/>
    <n v="8682"/>
    <n v="0"/>
    <n v="0"/>
    <n v="0"/>
    <n v="0"/>
    <n v="0"/>
    <n v="33"/>
    <s v="31 TO 45 Days"/>
    <d v="2017-04-30T00:00:00"/>
    <s v="AI"/>
    <m/>
    <m/>
    <m/>
    <m/>
    <m/>
    <m/>
    <s v="417268405"/>
  </r>
  <r>
    <s v="E2C1131971"/>
    <d v="2017-03-27T00:00:00"/>
    <s v="22C0318186"/>
    <x v="140"/>
    <x v="0"/>
    <x v="29"/>
    <n v="8689"/>
    <n v="0"/>
    <n v="8689"/>
    <n v="0"/>
    <n v="0"/>
    <n v="0"/>
    <n v="0"/>
    <n v="0"/>
    <n v="34"/>
    <s v="31 TO 45 Days"/>
    <d v="2017-04-30T00:00:00"/>
    <s v="AI"/>
    <n v="130.47999999999999"/>
    <s v="USD"/>
    <m/>
    <s v="EDI - Sent"/>
    <d v="2017-03-27T00:00:00"/>
    <s v="EDI successfully sent"/>
    <s v="410387440"/>
  </r>
  <r>
    <s v="E2C1122182"/>
    <d v="2017-02-28T00:00:00"/>
    <s v="22C0314933"/>
    <x v="28"/>
    <x v="0"/>
    <x v="17"/>
    <n v="8691"/>
    <n v="0"/>
    <n v="0"/>
    <n v="0"/>
    <n v="8691"/>
    <n v="0"/>
    <n v="0"/>
    <n v="8691"/>
    <n v="61"/>
    <s v="61 To 90 Days"/>
    <d v="2017-04-30T00:00:00"/>
    <s v="AI"/>
    <m/>
    <m/>
    <m/>
    <m/>
    <m/>
    <m/>
    <s v="4560217365"/>
  </r>
  <r>
    <s v="E2C1130108"/>
    <d v="2017-03-22T00:00:00"/>
    <s v="22C0318662"/>
    <x v="155"/>
    <x v="0"/>
    <x v="2"/>
    <n v="8694"/>
    <n v="0"/>
    <n v="8694"/>
    <n v="0"/>
    <n v="0"/>
    <n v="0"/>
    <n v="0"/>
    <n v="0"/>
    <n v="39"/>
    <s v="31 TO 45 Days"/>
    <d v="2017-04-30T00:00:00"/>
    <s v="AI"/>
    <m/>
    <m/>
    <m/>
    <m/>
    <m/>
    <m/>
    <s v="4711237361"/>
  </r>
  <r>
    <s v="E2C1135426"/>
    <d v="2017-04-03T00:00:00"/>
    <s v="22C0318839"/>
    <x v="140"/>
    <x v="0"/>
    <x v="29"/>
    <n v="8697"/>
    <n v="8697"/>
    <n v="0"/>
    <n v="0"/>
    <n v="0"/>
    <n v="0"/>
    <n v="0"/>
    <n v="0"/>
    <n v="27"/>
    <s v="30 Days"/>
    <d v="2017-04-30T00:00:00"/>
    <s v="AI"/>
    <n v="131.86000000000001"/>
    <s v="USD"/>
    <m/>
    <s v="EDI - Sent"/>
    <d v="2017-04-03T00:00:00"/>
    <s v="EDI successfully sent"/>
    <s v="412121590"/>
  </r>
  <r>
    <s v="E2C1135523"/>
    <d v="2017-04-03T00:00:00"/>
    <s v="22C0318852"/>
    <x v="140"/>
    <x v="0"/>
    <x v="29"/>
    <n v="8697"/>
    <n v="8697"/>
    <n v="0"/>
    <n v="0"/>
    <n v="0"/>
    <n v="0"/>
    <n v="0"/>
    <n v="0"/>
    <n v="27"/>
    <s v="30 Days"/>
    <d v="2017-04-30T00:00:00"/>
    <s v="AI"/>
    <n v="131.86000000000001"/>
    <s v="USD"/>
    <m/>
    <s v="EDI - Sent"/>
    <d v="2017-04-03T00:00:00"/>
    <s v="EDI successfully sent"/>
    <s v="412121761"/>
  </r>
  <r>
    <s v="E2C1121192"/>
    <d v="2017-02-27T00:00:00"/>
    <s v="22C0315338"/>
    <x v="53"/>
    <x v="0"/>
    <x v="1"/>
    <n v="8700"/>
    <n v="0"/>
    <n v="0"/>
    <n v="0"/>
    <n v="8700"/>
    <n v="0"/>
    <n v="0"/>
    <n v="8700"/>
    <n v="62"/>
    <s v="61 To 90 Days"/>
    <d v="2017-04-30T00:00:00"/>
    <s v="AI"/>
    <m/>
    <m/>
    <m/>
    <m/>
    <m/>
    <m/>
    <s v="4400188110"/>
  </r>
  <r>
    <s v="E2C1136231"/>
    <d v="2017-04-05T00:00:00"/>
    <s v="22C0320557"/>
    <x v="155"/>
    <x v="0"/>
    <x v="2"/>
    <n v="8704"/>
    <n v="8704"/>
    <n v="0"/>
    <n v="0"/>
    <n v="0"/>
    <n v="0"/>
    <n v="0"/>
    <n v="0"/>
    <n v="25"/>
    <s v="30 Days"/>
    <d v="2017-04-30T00:00:00"/>
    <s v="AI"/>
    <m/>
    <m/>
    <m/>
    <m/>
    <m/>
    <m/>
    <s v="4711241869"/>
  </r>
  <r>
    <s v="E2C1118947"/>
    <d v="2017-02-20T00:00:00"/>
    <s v="22C0313644"/>
    <x v="69"/>
    <x v="0"/>
    <x v="2"/>
    <n v="8705"/>
    <n v="0"/>
    <n v="0"/>
    <n v="0"/>
    <n v="8705"/>
    <n v="0"/>
    <n v="0"/>
    <n v="8705"/>
    <n v="69"/>
    <s v="61 To 90 Days"/>
    <d v="2017-04-30T00:00:00"/>
    <s v="AI"/>
    <m/>
    <m/>
    <m/>
    <m/>
    <m/>
    <m/>
    <s v="4395843909"/>
  </r>
  <r>
    <s v="E2C1119296"/>
    <d v="2017-02-21T00:00:00"/>
    <s v="22C0314921"/>
    <x v="61"/>
    <x v="0"/>
    <x v="2"/>
    <n v="8735"/>
    <n v="0"/>
    <n v="0"/>
    <n v="0"/>
    <n v="8735"/>
    <n v="0"/>
    <n v="0"/>
    <n v="8735"/>
    <n v="68"/>
    <s v="61 To 90 Days"/>
    <d v="2017-04-30T00:00:00"/>
    <s v="AI"/>
    <m/>
    <m/>
    <m/>
    <m/>
    <m/>
    <m/>
    <s v="4711230346"/>
  </r>
  <r>
    <s v="E2C1131403"/>
    <d v="2017-03-25T00:00:00"/>
    <s v="22C0318461"/>
    <x v="1"/>
    <x v="0"/>
    <x v="1"/>
    <n v="8742"/>
    <n v="0"/>
    <n v="8742"/>
    <n v="0"/>
    <n v="0"/>
    <n v="0"/>
    <n v="0"/>
    <n v="0"/>
    <n v="36"/>
    <s v="31 TO 45 Days"/>
    <d v="2017-04-30T00:00:00"/>
    <s v="AI"/>
    <m/>
    <m/>
    <m/>
    <m/>
    <m/>
    <m/>
    <s v="4750388445"/>
  </r>
  <r>
    <s v="E2C1123087"/>
    <d v="2017-03-02T00:00:00"/>
    <s v="22C0316043"/>
    <x v="155"/>
    <x v="0"/>
    <x v="2"/>
    <n v="8767"/>
    <n v="0"/>
    <n v="0"/>
    <n v="8767"/>
    <n v="0"/>
    <n v="0"/>
    <n v="0"/>
    <n v="0"/>
    <n v="59"/>
    <s v="46 To 60 Days"/>
    <d v="2017-04-30T00:00:00"/>
    <s v="AI"/>
    <m/>
    <m/>
    <m/>
    <m/>
    <m/>
    <m/>
    <s v="4711233200"/>
  </r>
  <r>
    <s v="E2C1136496"/>
    <d v="2017-04-06T00:00:00"/>
    <s v="22C0320742"/>
    <x v="28"/>
    <x v="0"/>
    <x v="17"/>
    <n v="8773"/>
    <n v="8773"/>
    <n v="0"/>
    <n v="0"/>
    <n v="0"/>
    <n v="0"/>
    <n v="0"/>
    <n v="0"/>
    <n v="24"/>
    <s v="30 Days"/>
    <d v="2017-04-30T00:00:00"/>
    <s v="AI"/>
    <m/>
    <m/>
    <m/>
    <m/>
    <m/>
    <m/>
    <s v="4600158933"/>
  </r>
  <r>
    <s v="E2C1127608"/>
    <d v="2017-03-16T00:00:00"/>
    <s v="22C0317334"/>
    <x v="101"/>
    <x v="0"/>
    <x v="26"/>
    <n v="8775"/>
    <n v="0"/>
    <n v="8775"/>
    <n v="0"/>
    <n v="0"/>
    <n v="0"/>
    <n v="0"/>
    <n v="0"/>
    <n v="45"/>
    <s v="31 TO 45 Days"/>
    <d v="2017-04-30T00:00:00"/>
    <s v="AI"/>
    <m/>
    <m/>
    <m/>
    <m/>
    <m/>
    <m/>
    <s v="419166048"/>
  </r>
  <r>
    <s v="E2C1117629"/>
    <d v="2017-02-15T00:00:00"/>
    <s v="22C0314342"/>
    <x v="81"/>
    <x v="0"/>
    <x v="3"/>
    <n v="8777"/>
    <n v="0"/>
    <n v="0"/>
    <n v="0"/>
    <n v="8777"/>
    <n v="0"/>
    <n v="0"/>
    <n v="8777"/>
    <n v="74"/>
    <s v="61 To 90 Days"/>
    <d v="2017-04-30T00:00:00"/>
    <s v="AI"/>
    <m/>
    <m/>
    <m/>
    <s v="EDI - Sent"/>
    <d v="2017-02-15T00:00:00"/>
    <s v="EDI successfully sent"/>
    <s v="419165351"/>
  </r>
  <r>
    <s v="E2C1116080"/>
    <d v="2017-02-10T00:00:00"/>
    <s v="22C0313745"/>
    <x v="7"/>
    <x v="0"/>
    <x v="4"/>
    <n v="8797"/>
    <n v="0"/>
    <n v="0"/>
    <n v="0"/>
    <n v="8797"/>
    <n v="0"/>
    <n v="0"/>
    <n v="8797"/>
    <n v="79"/>
    <s v="61 To 90 Days"/>
    <d v="2017-04-30T00:00:00"/>
    <s v="AI"/>
    <m/>
    <m/>
    <m/>
    <s v="EDI - Sent"/>
    <d v="2017-02-10T00:00:00"/>
    <s v="EDI successfully sent"/>
    <s v="42L0066143"/>
  </r>
  <r>
    <s v="E2C1138109"/>
    <d v="2017-04-11T00:00:00"/>
    <s v="22C0321064"/>
    <x v="53"/>
    <x v="0"/>
    <x v="1"/>
    <n v="8817"/>
    <n v="8817"/>
    <n v="0"/>
    <n v="0"/>
    <n v="0"/>
    <n v="0"/>
    <n v="0"/>
    <n v="0"/>
    <n v="19"/>
    <s v="30 Days"/>
    <d v="2017-04-30T00:00:00"/>
    <s v="AI"/>
    <m/>
    <m/>
    <m/>
    <m/>
    <m/>
    <m/>
    <s v="4560219376"/>
  </r>
  <r>
    <s v="E2C1138124"/>
    <d v="2017-04-11T00:00:00"/>
    <s v="22C0321026"/>
    <x v="53"/>
    <x v="0"/>
    <x v="1"/>
    <n v="8817"/>
    <n v="8817"/>
    <n v="0"/>
    <n v="0"/>
    <n v="0"/>
    <n v="0"/>
    <n v="0"/>
    <n v="0"/>
    <n v="19"/>
    <s v="30 Days"/>
    <d v="2017-04-30T00:00:00"/>
    <s v="AI"/>
    <m/>
    <m/>
    <m/>
    <m/>
    <m/>
    <m/>
    <s v="4560219382"/>
  </r>
  <r>
    <s v="E2C1125670"/>
    <d v="2017-03-10T00:00:00"/>
    <s v="22C0316603"/>
    <x v="28"/>
    <x v="0"/>
    <x v="17"/>
    <n v="8827"/>
    <n v="0"/>
    <n v="0"/>
    <n v="8827"/>
    <n v="0"/>
    <n v="0"/>
    <n v="0"/>
    <n v="0"/>
    <n v="51"/>
    <s v="46 To 60 Days"/>
    <d v="2017-04-30T00:00:00"/>
    <s v="AI"/>
    <m/>
    <m/>
    <m/>
    <m/>
    <m/>
    <m/>
    <s v="4520086122"/>
  </r>
  <r>
    <s v="E2C1139401"/>
    <d v="2017-04-13T00:00:00"/>
    <s v="22C0321465"/>
    <x v="85"/>
    <x v="0"/>
    <x v="2"/>
    <n v="8831"/>
    <n v="8831"/>
    <n v="0"/>
    <n v="0"/>
    <n v="0"/>
    <n v="0"/>
    <n v="0"/>
    <n v="0"/>
    <n v="17"/>
    <s v="30 Days"/>
    <d v="2017-04-30T00:00:00"/>
    <s v="AI"/>
    <m/>
    <m/>
    <m/>
    <m/>
    <m/>
    <m/>
    <s v="4340042510"/>
  </r>
  <r>
    <s v="E2C1131746"/>
    <d v="2017-03-27T00:00:00"/>
    <s v="22C0317338"/>
    <x v="36"/>
    <x v="0"/>
    <x v="2"/>
    <n v="8841"/>
    <n v="0"/>
    <n v="8841"/>
    <n v="0"/>
    <n v="0"/>
    <n v="0"/>
    <n v="0"/>
    <n v="0"/>
    <n v="34"/>
    <s v="31 TO 45 Days"/>
    <d v="2017-04-30T00:00:00"/>
    <s v="AI"/>
    <m/>
    <m/>
    <m/>
    <m/>
    <m/>
    <m/>
    <s v="41Q1042238"/>
  </r>
  <r>
    <s v="E2C1126846"/>
    <d v="2017-03-15T00:00:00"/>
    <s v="22C0317105"/>
    <x v="24"/>
    <x v="0"/>
    <x v="16"/>
    <n v="8842"/>
    <n v="0"/>
    <n v="0"/>
    <n v="8842"/>
    <n v="0"/>
    <n v="0"/>
    <n v="0"/>
    <n v="0"/>
    <n v="46"/>
    <s v="46 To 60 Days"/>
    <d v="2017-04-30T00:00:00"/>
    <s v="AI"/>
    <m/>
    <m/>
    <m/>
    <m/>
    <m/>
    <m/>
    <s v="4052206221"/>
  </r>
  <r>
    <s v="E2C1124067"/>
    <d v="2017-03-06T00:00:00"/>
    <s v="22C0316333"/>
    <x v="155"/>
    <x v="0"/>
    <x v="2"/>
    <n v="8852"/>
    <n v="0"/>
    <n v="0"/>
    <n v="8852"/>
    <n v="0"/>
    <n v="0"/>
    <n v="0"/>
    <n v="0"/>
    <n v="55"/>
    <s v="46 To 60 Days"/>
    <d v="2017-04-30T00:00:00"/>
    <s v="AI"/>
    <m/>
    <m/>
    <m/>
    <m/>
    <m/>
    <m/>
    <s v="4711233637"/>
  </r>
  <r>
    <s v="E2C1139832"/>
    <d v="2017-04-15T00:00:00"/>
    <s v="22C0321304"/>
    <x v="53"/>
    <x v="0"/>
    <x v="1"/>
    <n v="8853"/>
    <n v="8853"/>
    <n v="0"/>
    <n v="0"/>
    <n v="0"/>
    <n v="0"/>
    <n v="0"/>
    <n v="0"/>
    <n v="15"/>
    <s v="30 Days"/>
    <d v="2017-04-30T00:00:00"/>
    <s v="AI"/>
    <m/>
    <m/>
    <m/>
    <m/>
    <m/>
    <m/>
    <s v="4560219433"/>
  </r>
  <r>
    <s v="E2C1122262"/>
    <d v="2017-02-28T00:00:00"/>
    <s v="22C0315492"/>
    <x v="155"/>
    <x v="0"/>
    <x v="2"/>
    <n v="8856"/>
    <n v="0"/>
    <n v="0"/>
    <n v="0"/>
    <n v="8856"/>
    <n v="0"/>
    <n v="0"/>
    <n v="8856"/>
    <n v="61"/>
    <s v="61 To 90 Days"/>
    <d v="2017-04-30T00:00:00"/>
    <s v="AI"/>
    <m/>
    <m/>
    <m/>
    <m/>
    <m/>
    <m/>
    <s v="4711231641"/>
  </r>
  <r>
    <s v="E2C1137768"/>
    <d v="2017-04-10T00:00:00"/>
    <s v="22C0319828"/>
    <x v="67"/>
    <x v="0"/>
    <x v="17"/>
    <n v="8865"/>
    <n v="8865"/>
    <n v="0"/>
    <n v="0"/>
    <n v="0"/>
    <n v="0"/>
    <n v="0"/>
    <n v="0"/>
    <n v="20"/>
    <s v="30 Days"/>
    <d v="2017-04-30T00:00:00"/>
    <s v="AI"/>
    <m/>
    <m/>
    <m/>
    <m/>
    <m/>
    <m/>
    <s v="417268298"/>
  </r>
  <r>
    <s v="E2C1135975"/>
    <d v="2017-04-05T00:00:00"/>
    <s v="22C0320302"/>
    <x v="163"/>
    <x v="0"/>
    <x v="1"/>
    <n v="8866"/>
    <n v="8866"/>
    <n v="0"/>
    <n v="0"/>
    <n v="0"/>
    <n v="0"/>
    <n v="0"/>
    <n v="0"/>
    <n v="25"/>
    <s v="30 Days"/>
    <d v="2017-04-30T00:00:00"/>
    <s v="AI"/>
    <m/>
    <m/>
    <m/>
    <m/>
    <m/>
    <m/>
    <s v="4570271037"/>
  </r>
  <r>
    <s v="E2C1128776"/>
    <d v="2017-03-20T00:00:00"/>
    <s v="22C0317136"/>
    <x v="1"/>
    <x v="0"/>
    <x v="1"/>
    <n v="8884"/>
    <n v="0"/>
    <n v="8884"/>
    <n v="0"/>
    <n v="0"/>
    <n v="0"/>
    <n v="0"/>
    <n v="0"/>
    <n v="41"/>
    <s v="31 TO 45 Days"/>
    <d v="2017-04-30T00:00:00"/>
    <s v="AI"/>
    <m/>
    <m/>
    <m/>
    <m/>
    <m/>
    <m/>
    <s v="4750387808"/>
  </r>
  <r>
    <s v="E2C1130121"/>
    <d v="2017-03-22T00:00:00"/>
    <s v="22C0318667"/>
    <x v="155"/>
    <x v="0"/>
    <x v="2"/>
    <n v="8887"/>
    <n v="0"/>
    <n v="8887"/>
    <n v="0"/>
    <n v="0"/>
    <n v="0"/>
    <n v="0"/>
    <n v="0"/>
    <n v="39"/>
    <s v="31 TO 45 Days"/>
    <d v="2017-04-30T00:00:00"/>
    <s v="AI"/>
    <m/>
    <m/>
    <m/>
    <m/>
    <m/>
    <m/>
    <s v="4711238338"/>
  </r>
  <r>
    <s v="E2C1113387"/>
    <d v="2017-02-01T00:00:00"/>
    <s v="22C0312944"/>
    <x v="129"/>
    <x v="0"/>
    <x v="27"/>
    <n v="8892"/>
    <n v="0"/>
    <n v="0"/>
    <n v="0"/>
    <n v="8892"/>
    <n v="0"/>
    <n v="0"/>
    <n v="8892"/>
    <n v="88"/>
    <s v="61 To 90 Days"/>
    <d v="2017-04-30T00:00:00"/>
    <s v="AI"/>
    <m/>
    <m/>
    <m/>
    <m/>
    <m/>
    <m/>
    <s v="4850056085"/>
  </r>
  <r>
    <s v="E2C1137607"/>
    <d v="2017-04-10T00:00:00"/>
    <s v="22C0320971"/>
    <x v="83"/>
    <x v="0"/>
    <x v="23"/>
    <n v="8893"/>
    <n v="8893"/>
    <n v="0"/>
    <n v="0"/>
    <n v="0"/>
    <n v="0"/>
    <n v="0"/>
    <n v="0"/>
    <n v="20"/>
    <s v="30 Days"/>
    <d v="2017-04-30T00:00:00"/>
    <s v="AI"/>
    <m/>
    <m/>
    <m/>
    <m/>
    <m/>
    <m/>
    <s v="4200122053"/>
  </r>
  <r>
    <s v="E2C1110263"/>
    <d v="2017-01-25T00:00:00"/>
    <s v="22C0311844"/>
    <x v="7"/>
    <x v="0"/>
    <x v="4"/>
    <n v="8902"/>
    <n v="0"/>
    <n v="0"/>
    <n v="0"/>
    <n v="0"/>
    <n v="8902"/>
    <n v="0"/>
    <n v="8902"/>
    <n v="95"/>
    <s v="91 To 120 Days"/>
    <d v="2017-04-30T00:00:00"/>
    <s v="AI"/>
    <m/>
    <m/>
    <m/>
    <s v="EDI - Sent"/>
    <d v="2017-01-25T00:00:00"/>
    <s v="EDI successfully sent"/>
    <s v="4400187112"/>
  </r>
  <r>
    <s v="E2C1121905"/>
    <d v="2017-02-28T00:00:00"/>
    <s v="22C0315834"/>
    <x v="7"/>
    <x v="0"/>
    <x v="4"/>
    <n v="8906"/>
    <n v="0"/>
    <n v="0"/>
    <n v="0"/>
    <n v="8906"/>
    <n v="0"/>
    <n v="0"/>
    <n v="8906"/>
    <n v="61"/>
    <s v="61 To 90 Days"/>
    <d v="2017-04-30T00:00:00"/>
    <s v="AI"/>
    <m/>
    <m/>
    <m/>
    <s v="EDI - Sent"/>
    <d v="2017-03-02T00:00:00"/>
    <s v="EDI successfully sent"/>
    <s v="4750387242"/>
  </r>
  <r>
    <s v="E2C1115413"/>
    <d v="2017-02-08T00:00:00"/>
    <s v="22C0313074"/>
    <x v="54"/>
    <x v="0"/>
    <x v="2"/>
    <n v="8911"/>
    <n v="0"/>
    <n v="0"/>
    <n v="0"/>
    <n v="8911"/>
    <n v="0"/>
    <n v="0"/>
    <n v="8911"/>
    <n v="81"/>
    <s v="61 To 90 Days"/>
    <d v="2017-04-30T00:00:00"/>
    <s v="AI"/>
    <m/>
    <m/>
    <m/>
    <m/>
    <m/>
    <m/>
    <s v="4570268004"/>
  </r>
  <r>
    <s v="E2C1133775"/>
    <d v="2017-03-30T00:00:00"/>
    <s v="22C0319666"/>
    <x v="95"/>
    <x v="0"/>
    <x v="25"/>
    <n v="8925"/>
    <n v="0"/>
    <n v="8925"/>
    <n v="0"/>
    <n v="0"/>
    <n v="0"/>
    <n v="0"/>
    <n v="0"/>
    <n v="31"/>
    <s v="31 TO 45 Days"/>
    <d v="2017-04-30T00:00:00"/>
    <s v="AI"/>
    <m/>
    <m/>
    <m/>
    <m/>
    <m/>
    <m/>
    <s v="4711239452"/>
  </r>
  <r>
    <s v="E2C1137675"/>
    <d v="2017-04-10T00:00:00"/>
    <s v="22C0321100"/>
    <x v="75"/>
    <x v="0"/>
    <x v="9"/>
    <n v="8927"/>
    <n v="8927"/>
    <n v="0"/>
    <n v="0"/>
    <n v="0"/>
    <n v="0"/>
    <n v="0"/>
    <n v="0"/>
    <n v="20"/>
    <s v="30 Days"/>
    <d v="2017-04-30T00:00:00"/>
    <s v="AI"/>
    <m/>
    <m/>
    <m/>
    <s v="EDI - Sent"/>
    <d v="2017-04-10T00:00:00"/>
    <s v="EDI successfully sent"/>
    <s v="4711242849"/>
  </r>
  <r>
    <s v="E2C1134639"/>
    <d v="2017-03-31T00:00:00"/>
    <s v="22C0319671"/>
    <x v="155"/>
    <x v="0"/>
    <x v="2"/>
    <n v="8941"/>
    <n v="8941"/>
    <n v="0"/>
    <n v="0"/>
    <n v="0"/>
    <n v="0"/>
    <n v="0"/>
    <n v="0"/>
    <n v="30"/>
    <s v="30 Days"/>
    <d v="2017-04-30T00:00:00"/>
    <s v="AI"/>
    <m/>
    <m/>
    <m/>
    <m/>
    <m/>
    <m/>
    <s v="4711239621"/>
  </r>
  <r>
    <s v="E2C1106732"/>
    <d v="2017-01-16T00:00:00"/>
    <s v="22C0310596"/>
    <x v="54"/>
    <x v="0"/>
    <x v="2"/>
    <n v="8966"/>
    <n v="0"/>
    <n v="0"/>
    <n v="0"/>
    <n v="0"/>
    <n v="8966"/>
    <n v="0"/>
    <n v="8966"/>
    <n v="104"/>
    <s v="91 To 120 Days"/>
    <d v="2017-04-30T00:00:00"/>
    <s v="AI"/>
    <m/>
    <m/>
    <m/>
    <m/>
    <m/>
    <m/>
    <s v="416563537"/>
  </r>
  <r>
    <s v="E2C1122758"/>
    <d v="2017-03-01T00:00:00"/>
    <s v="22C0314555"/>
    <x v="1"/>
    <x v="0"/>
    <x v="1"/>
    <n v="8969"/>
    <n v="0"/>
    <n v="0"/>
    <n v="8969"/>
    <n v="0"/>
    <n v="0"/>
    <n v="0"/>
    <n v="0"/>
    <n v="60"/>
    <s v="46 To 60 Days"/>
    <d v="2017-04-30T00:00:00"/>
    <s v="AI"/>
    <m/>
    <m/>
    <m/>
    <m/>
    <m/>
    <m/>
    <s v="4750386135"/>
  </r>
  <r>
    <s v="E2C1137857"/>
    <d v="2017-04-10T00:00:00"/>
    <s v="22C0319993"/>
    <x v="7"/>
    <x v="0"/>
    <x v="4"/>
    <n v="8971"/>
    <n v="8971"/>
    <n v="0"/>
    <n v="0"/>
    <n v="0"/>
    <n v="0"/>
    <n v="0"/>
    <n v="0"/>
    <n v="20"/>
    <s v="30 Days"/>
    <d v="2017-04-30T00:00:00"/>
    <s v="AI"/>
    <m/>
    <m/>
    <m/>
    <s v="EDI - Sent"/>
    <d v="2017-04-10T00:00:00"/>
    <s v="EDI successfully sent"/>
    <s v="4711240461"/>
  </r>
  <r>
    <s v="E2C1118941"/>
    <d v="2017-02-20T00:00:00"/>
    <s v="22C0313702"/>
    <x v="69"/>
    <x v="0"/>
    <x v="2"/>
    <n v="8985"/>
    <n v="0"/>
    <n v="0"/>
    <n v="0"/>
    <n v="8985"/>
    <n v="0"/>
    <n v="0"/>
    <n v="8985"/>
    <n v="69"/>
    <s v="61 To 90 Days"/>
    <d v="2017-04-30T00:00:00"/>
    <s v="AI"/>
    <m/>
    <m/>
    <m/>
    <m/>
    <m/>
    <m/>
    <s v="4400187771"/>
  </r>
  <r>
    <s v="E2C1126838"/>
    <d v="2017-03-15T00:00:00"/>
    <s v="22C0317586"/>
    <x v="24"/>
    <x v="0"/>
    <x v="16"/>
    <n v="8987"/>
    <n v="0"/>
    <n v="0"/>
    <n v="8987"/>
    <n v="0"/>
    <n v="0"/>
    <n v="0"/>
    <n v="0"/>
    <n v="46"/>
    <s v="46 To 60 Days"/>
    <d v="2017-04-30T00:00:00"/>
    <s v="AI"/>
    <m/>
    <m/>
    <m/>
    <m/>
    <m/>
    <m/>
    <s v="4041694992"/>
  </r>
  <r>
    <s v="E2C1130578"/>
    <d v="2017-03-23T00:00:00"/>
    <s v="22C0318248"/>
    <x v="140"/>
    <x v="0"/>
    <x v="29"/>
    <n v="8988"/>
    <n v="0"/>
    <n v="8988"/>
    <n v="0"/>
    <n v="0"/>
    <n v="0"/>
    <n v="0"/>
    <n v="0"/>
    <n v="38"/>
    <s v="31 TO 45 Days"/>
    <d v="2017-04-30T00:00:00"/>
    <s v="AI"/>
    <n v="134.97"/>
    <s v="USD"/>
    <m/>
    <s v="EDI - Sent"/>
    <d v="2017-03-24T00:00:00"/>
    <s v="EDI successfully sent"/>
    <s v="4831171473"/>
  </r>
  <r>
    <s v="E2C1119327"/>
    <d v="2017-02-21T00:00:00"/>
    <s v="22C0314413"/>
    <x v="28"/>
    <x v="0"/>
    <x v="17"/>
    <n v="8992"/>
    <n v="0"/>
    <n v="0"/>
    <n v="0"/>
    <n v="8992"/>
    <n v="0"/>
    <n v="0"/>
    <n v="8992"/>
    <n v="68"/>
    <s v="61 To 90 Days"/>
    <d v="2017-04-30T00:00:00"/>
    <s v="AI"/>
    <m/>
    <m/>
    <m/>
    <m/>
    <m/>
    <m/>
    <s v="4395844939"/>
  </r>
  <r>
    <s v="E2C1130126"/>
    <d v="2017-03-22T00:00:00"/>
    <s v="22C0318668"/>
    <x v="155"/>
    <x v="0"/>
    <x v="2"/>
    <n v="8994"/>
    <n v="0"/>
    <n v="8994"/>
    <n v="0"/>
    <n v="0"/>
    <n v="0"/>
    <n v="0"/>
    <n v="0"/>
    <n v="39"/>
    <s v="31 TO 45 Days"/>
    <d v="2017-04-30T00:00:00"/>
    <s v="AI"/>
    <m/>
    <m/>
    <m/>
    <m/>
    <m/>
    <m/>
    <s v="4711238339"/>
  </r>
  <r>
    <s v="E2C1133824"/>
    <d v="2017-03-30T00:00:00"/>
    <s v="22C0313031"/>
    <x v="80"/>
    <x v="0"/>
    <x v="13"/>
    <n v="9000"/>
    <n v="0"/>
    <n v="9000"/>
    <n v="0"/>
    <n v="0"/>
    <n v="0"/>
    <n v="0"/>
    <n v="0"/>
    <n v="31"/>
    <s v="31 TO 45 Days"/>
    <d v="2017-04-30T00:00:00"/>
    <s v="AI"/>
    <m/>
    <m/>
    <m/>
    <m/>
    <m/>
    <m/>
    <s v="4071585212"/>
  </r>
  <r>
    <s v="E2C1133117"/>
    <d v="2017-03-30T00:00:00"/>
    <s v="22C0319327"/>
    <x v="53"/>
    <x v="0"/>
    <x v="1"/>
    <n v="9007"/>
    <n v="0"/>
    <n v="9007"/>
    <n v="0"/>
    <n v="0"/>
    <n v="0"/>
    <n v="0"/>
    <n v="0"/>
    <n v="31"/>
    <s v="31 TO 45 Days"/>
    <d v="2017-04-30T00:00:00"/>
    <s v="AI"/>
    <m/>
    <m/>
    <m/>
    <m/>
    <m/>
    <m/>
    <s v="4560218902"/>
  </r>
  <r>
    <s v="E2C1133116"/>
    <d v="2017-03-30T00:00:00"/>
    <s v="22C0319326"/>
    <x v="53"/>
    <x v="0"/>
    <x v="1"/>
    <n v="9007"/>
    <n v="0"/>
    <n v="9007"/>
    <n v="0"/>
    <n v="0"/>
    <n v="0"/>
    <n v="0"/>
    <n v="0"/>
    <n v="31"/>
    <s v="31 TO 45 Days"/>
    <d v="2017-04-30T00:00:00"/>
    <s v="AI"/>
    <m/>
    <m/>
    <m/>
    <m/>
    <m/>
    <m/>
    <s v="4560218849"/>
  </r>
  <r>
    <s v="E2C1122457"/>
    <d v="2017-02-28T00:00:00"/>
    <s v="22C0315684"/>
    <x v="155"/>
    <x v="0"/>
    <x v="2"/>
    <n v="9010"/>
    <n v="0"/>
    <n v="0"/>
    <n v="0"/>
    <n v="9010"/>
    <n v="0"/>
    <n v="0"/>
    <n v="9010"/>
    <n v="61"/>
    <s v="61 To 90 Days"/>
    <d v="2017-04-30T00:00:00"/>
    <s v="AI"/>
    <m/>
    <m/>
    <m/>
    <m/>
    <m/>
    <m/>
    <s v="4711232161"/>
  </r>
  <r>
    <s v="E2C1131587"/>
    <d v="2017-03-25T00:00:00"/>
    <s v="22C0318874"/>
    <x v="83"/>
    <x v="0"/>
    <x v="23"/>
    <n v="9014"/>
    <n v="0"/>
    <n v="9014"/>
    <n v="0"/>
    <n v="0"/>
    <n v="0"/>
    <n v="0"/>
    <n v="0"/>
    <n v="36"/>
    <s v="31 TO 45 Days"/>
    <d v="2017-04-30T00:00:00"/>
    <s v="AI"/>
    <m/>
    <m/>
    <m/>
    <m/>
    <m/>
    <m/>
    <s v="4200121536"/>
  </r>
  <r>
    <s v="E2C1116680"/>
    <d v="2017-02-13T00:00:00"/>
    <s v="22C0313900"/>
    <x v="61"/>
    <x v="0"/>
    <x v="2"/>
    <n v="9018"/>
    <n v="0"/>
    <n v="0"/>
    <n v="0"/>
    <n v="9018"/>
    <n v="0"/>
    <n v="0"/>
    <n v="9018"/>
    <n v="76"/>
    <s v="61 To 90 Days"/>
    <d v="2017-04-30T00:00:00"/>
    <s v="AI"/>
    <m/>
    <m/>
    <m/>
    <m/>
    <m/>
    <m/>
    <s v="4711227782"/>
  </r>
  <r>
    <s v="E2C1132407"/>
    <d v="2017-03-28T00:00:00"/>
    <s v="22C0319069"/>
    <x v="155"/>
    <x v="0"/>
    <x v="2"/>
    <n v="9023"/>
    <n v="0"/>
    <n v="9023"/>
    <n v="0"/>
    <n v="0"/>
    <n v="0"/>
    <n v="0"/>
    <n v="0"/>
    <n v="33"/>
    <s v="31 TO 45 Days"/>
    <d v="2017-04-30T00:00:00"/>
    <s v="AI"/>
    <m/>
    <m/>
    <m/>
    <m/>
    <m/>
    <m/>
    <s v="4711238076"/>
  </r>
  <r>
    <s v="E2C1135372"/>
    <d v="2017-04-03T00:00:00"/>
    <s v="22C0318851"/>
    <x v="140"/>
    <x v="0"/>
    <x v="29"/>
    <n v="9041"/>
    <n v="9041"/>
    <n v="0"/>
    <n v="0"/>
    <n v="0"/>
    <n v="0"/>
    <n v="0"/>
    <n v="0"/>
    <n v="27"/>
    <s v="30 Days"/>
    <d v="2017-04-30T00:00:00"/>
    <s v="AI"/>
    <n v="137.08000000000001"/>
    <s v="USD"/>
    <m/>
    <s v="EDI - Sent"/>
    <d v="2017-04-03T00:00:00"/>
    <s v="EDI successfully sent"/>
    <s v="412121756"/>
  </r>
  <r>
    <s v="E2C1123907"/>
    <d v="2017-03-06T00:00:00"/>
    <s v="22C0316357"/>
    <x v="77"/>
    <x v="0"/>
    <x v="24"/>
    <n v="9044"/>
    <n v="0"/>
    <n v="0"/>
    <n v="9044"/>
    <n v="0"/>
    <n v="0"/>
    <n v="0"/>
    <n v="0"/>
    <n v="55"/>
    <s v="46 To 60 Days"/>
    <d v="2017-04-30T00:00:00"/>
    <s v="AI"/>
    <m/>
    <m/>
    <m/>
    <m/>
    <m/>
    <m/>
    <s v="4410075805"/>
  </r>
  <r>
    <s v="E2C1127993"/>
    <d v="2017-03-17T00:00:00"/>
    <s v="22C0317519"/>
    <x v="53"/>
    <x v="0"/>
    <x v="1"/>
    <n v="9054"/>
    <n v="0"/>
    <n v="9054"/>
    <n v="0"/>
    <n v="0"/>
    <n v="0"/>
    <n v="0"/>
    <n v="0"/>
    <n v="44"/>
    <s v="31 TO 45 Days"/>
    <d v="2017-04-30T00:00:00"/>
    <s v="AI"/>
    <m/>
    <m/>
    <m/>
    <m/>
    <m/>
    <m/>
    <s v="4560218324"/>
  </r>
  <r>
    <s v="E2C1130363"/>
    <d v="2017-03-23T00:00:00"/>
    <s v="22C0318311"/>
    <x v="75"/>
    <x v="0"/>
    <x v="9"/>
    <n v="9059"/>
    <n v="0"/>
    <n v="9059"/>
    <n v="0"/>
    <n v="0"/>
    <n v="0"/>
    <n v="0"/>
    <n v="0"/>
    <n v="38"/>
    <s v="31 TO 45 Days"/>
    <d v="2017-04-30T00:00:00"/>
    <s v="AI"/>
    <m/>
    <m/>
    <m/>
    <s v="EDI - Sent"/>
    <d v="2017-03-23T00:00:00"/>
    <s v="EDI successfully sent"/>
    <s v="4711236938"/>
  </r>
  <r>
    <s v="E2C1118234"/>
    <d v="2017-02-17T00:00:00"/>
    <s v="22C0314442"/>
    <x v="163"/>
    <x v="0"/>
    <x v="1"/>
    <n v="9060"/>
    <n v="0"/>
    <n v="0"/>
    <n v="0"/>
    <n v="9060"/>
    <n v="0"/>
    <n v="0"/>
    <n v="9060"/>
    <n v="72"/>
    <s v="61 To 90 Days"/>
    <d v="2017-04-30T00:00:00"/>
    <s v="AI"/>
    <m/>
    <m/>
    <m/>
    <m/>
    <m/>
    <m/>
    <s v="4570268790"/>
  </r>
  <r>
    <s v="E2C1124097"/>
    <d v="2017-03-06T00:00:00"/>
    <s v="22C0316111"/>
    <x v="53"/>
    <x v="0"/>
    <x v="1"/>
    <n v="9065"/>
    <n v="0"/>
    <n v="0"/>
    <n v="9065"/>
    <n v="0"/>
    <n v="0"/>
    <n v="0"/>
    <n v="0"/>
    <n v="55"/>
    <s v="46 To 60 Days"/>
    <d v="2017-04-30T00:00:00"/>
    <s v="AI"/>
    <m/>
    <m/>
    <m/>
    <m/>
    <m/>
    <m/>
    <s v="4560217933"/>
  </r>
  <r>
    <s v="E2C1131566"/>
    <d v="2017-03-25T00:00:00"/>
    <s v="22C0318948"/>
    <x v="63"/>
    <x v="0"/>
    <x v="7"/>
    <n v="9066"/>
    <n v="0"/>
    <n v="9066"/>
    <n v="0"/>
    <n v="0"/>
    <n v="0"/>
    <n v="0"/>
    <n v="0"/>
    <n v="36"/>
    <s v="31 TO 45 Days"/>
    <d v="2017-04-30T00:00:00"/>
    <s v="AI"/>
    <m/>
    <m/>
    <m/>
    <m/>
    <m/>
    <m/>
    <s v="4570270566"/>
  </r>
  <r>
    <s v="E2C1113910"/>
    <d v="2017-02-03T00:00:00"/>
    <s v="22C0313122"/>
    <x v="69"/>
    <x v="0"/>
    <x v="2"/>
    <n v="9076"/>
    <n v="0"/>
    <n v="0"/>
    <n v="0"/>
    <n v="9076"/>
    <n v="0"/>
    <n v="0"/>
    <n v="9076"/>
    <n v="86"/>
    <s v="61 To 90 Days"/>
    <d v="2017-04-30T00:00:00"/>
    <s v="AI"/>
    <m/>
    <m/>
    <m/>
    <m/>
    <m/>
    <m/>
    <s v="4400187556"/>
  </r>
  <r>
    <s v="E2C1126467"/>
    <d v="2017-03-14T00:00:00"/>
    <s v="22C0316865"/>
    <x v="140"/>
    <x v="0"/>
    <x v="29"/>
    <n v="9077"/>
    <n v="0"/>
    <n v="0"/>
    <n v="9077"/>
    <n v="0"/>
    <n v="0"/>
    <n v="0"/>
    <n v="0"/>
    <n v="47"/>
    <s v="46 To 60 Days"/>
    <d v="2017-04-30T00:00:00"/>
    <s v="AI"/>
    <n v="134.66"/>
    <s v="USD"/>
    <m/>
    <s v="EDI - Sent"/>
    <d v="2017-03-14T00:00:00"/>
    <s v="EDI successfully sent"/>
    <s v="AF00037635"/>
  </r>
  <r>
    <s v="E2C1135355"/>
    <d v="2017-04-03T00:00:00"/>
    <s v="22C0319585"/>
    <x v="140"/>
    <x v="0"/>
    <x v="29"/>
    <n v="9091"/>
    <n v="9091"/>
    <n v="0"/>
    <n v="0"/>
    <n v="0"/>
    <n v="0"/>
    <n v="0"/>
    <n v="0"/>
    <n v="27"/>
    <s v="30 Days"/>
    <d v="2017-04-30T00:00:00"/>
    <s v="AI"/>
    <n v="137.84"/>
    <s v="USD"/>
    <m/>
    <s v="EDI - Sent"/>
    <d v="2017-04-03T00:00:00"/>
    <s v="EDI successfully sent"/>
    <s v="4912906289"/>
  </r>
  <r>
    <s v="E2C1128891"/>
    <d v="2017-03-20T00:00:00"/>
    <s v="22C0317487"/>
    <x v="54"/>
    <x v="0"/>
    <x v="2"/>
    <n v="9107"/>
    <n v="0"/>
    <n v="9107"/>
    <n v="0"/>
    <n v="0"/>
    <n v="0"/>
    <n v="0"/>
    <n v="0"/>
    <n v="41"/>
    <s v="31 TO 45 Days"/>
    <d v="2017-04-30T00:00:00"/>
    <s v="AI"/>
    <m/>
    <m/>
    <m/>
    <m/>
    <m/>
    <m/>
    <s v="4560218261"/>
  </r>
  <r>
    <s v="E2C1129475"/>
    <d v="2017-03-21T00:00:00"/>
    <s v="22C0317561"/>
    <x v="155"/>
    <x v="0"/>
    <x v="2"/>
    <n v="9107"/>
    <n v="0"/>
    <n v="9107"/>
    <n v="0"/>
    <n v="0"/>
    <n v="0"/>
    <n v="0"/>
    <n v="0"/>
    <n v="40"/>
    <s v="31 TO 45 Days"/>
    <d v="2017-04-30T00:00:00"/>
    <s v="AI"/>
    <m/>
    <m/>
    <m/>
    <m/>
    <m/>
    <m/>
    <s v="4711235868"/>
  </r>
  <r>
    <s v="E2C1128939"/>
    <d v="2017-03-20T00:00:00"/>
    <s v="22C0318282"/>
    <x v="22"/>
    <x v="0"/>
    <x v="14"/>
    <n v="9113"/>
    <n v="0"/>
    <n v="9113"/>
    <n v="0"/>
    <n v="0"/>
    <n v="0"/>
    <n v="0"/>
    <n v="0"/>
    <n v="41"/>
    <s v="31 TO 45 Days"/>
    <d v="2017-04-30T00:00:00"/>
    <s v="AI"/>
    <m/>
    <m/>
    <m/>
    <m/>
    <m/>
    <m/>
    <s v="423610075"/>
  </r>
  <r>
    <s v="E2C1120785"/>
    <d v="2017-02-25T00:00:00"/>
    <s v="22C0314563"/>
    <x v="7"/>
    <x v="0"/>
    <x v="4"/>
    <n v="9135"/>
    <n v="0"/>
    <n v="0"/>
    <n v="0"/>
    <n v="9135"/>
    <n v="0"/>
    <n v="0"/>
    <n v="9135"/>
    <n v="64"/>
    <s v="61 To 90 Days"/>
    <d v="2017-04-30T00:00:00"/>
    <s v="AI"/>
    <m/>
    <m/>
    <m/>
    <s v="EDI - Sent"/>
    <d v="2017-03-02T00:00:00"/>
    <s v="EDI successfully sent"/>
    <s v="4750386664"/>
  </r>
  <r>
    <s v="E2C1129379"/>
    <d v="2017-03-21T00:00:00"/>
    <s v="22C0317724"/>
    <x v="69"/>
    <x v="0"/>
    <x v="2"/>
    <n v="9154"/>
    <n v="0"/>
    <n v="9154"/>
    <n v="0"/>
    <n v="0"/>
    <n v="0"/>
    <n v="0"/>
    <n v="0"/>
    <n v="40"/>
    <s v="31 TO 45 Days"/>
    <d v="2017-04-30T00:00:00"/>
    <s v="AI"/>
    <m/>
    <m/>
    <m/>
    <m/>
    <m/>
    <m/>
    <s v="410291013"/>
  </r>
  <r>
    <s v="E2C1122152"/>
    <d v="2017-02-28T00:00:00"/>
    <s v="22C0315457"/>
    <x v="140"/>
    <x v="0"/>
    <x v="29"/>
    <n v="9165"/>
    <n v="0"/>
    <n v="0"/>
    <n v="0"/>
    <n v="9165"/>
    <n v="0"/>
    <n v="0"/>
    <n v="9165"/>
    <n v="61"/>
    <s v="61 To 90 Days"/>
    <d v="2017-04-30T00:00:00"/>
    <s v="AI"/>
    <n v="134.86000000000001"/>
    <s v="USD"/>
    <m/>
    <s v="EDI - Sent"/>
    <d v="2017-02-28T00:00:00"/>
    <s v="EDI successfully sent"/>
    <s v="AF00037408"/>
  </r>
  <r>
    <s v="E2C1128794"/>
    <d v="2017-03-20T00:00:00"/>
    <s v="22C0317130"/>
    <x v="1"/>
    <x v="0"/>
    <x v="1"/>
    <n v="9171"/>
    <n v="0"/>
    <n v="9171"/>
    <n v="0"/>
    <n v="0"/>
    <n v="0"/>
    <n v="0"/>
    <n v="0"/>
    <n v="41"/>
    <s v="31 TO 45 Days"/>
    <d v="2017-04-30T00:00:00"/>
    <s v="AI"/>
    <m/>
    <m/>
    <m/>
    <m/>
    <m/>
    <m/>
    <s v="4750387786"/>
  </r>
  <r>
    <s v="E2C1137717"/>
    <d v="2017-04-10T00:00:00"/>
    <s v="22C0320360"/>
    <x v="27"/>
    <x v="0"/>
    <x v="1"/>
    <n v="9178"/>
    <n v="9178"/>
    <n v="0"/>
    <n v="0"/>
    <n v="0"/>
    <n v="0"/>
    <n v="0"/>
    <n v="0"/>
    <n v="20"/>
    <s v="30 Days"/>
    <d v="2017-04-30T00:00:00"/>
    <s v="AI"/>
    <m/>
    <m/>
    <m/>
    <m/>
    <m/>
    <m/>
    <s v="4190211699"/>
  </r>
  <r>
    <s v="E2C1134838"/>
    <d v="2017-04-01T00:00:00"/>
    <s v="22C0319632"/>
    <x v="54"/>
    <x v="0"/>
    <x v="2"/>
    <n v="9181"/>
    <n v="9181"/>
    <n v="0"/>
    <n v="0"/>
    <n v="0"/>
    <n v="0"/>
    <n v="0"/>
    <n v="0"/>
    <n v="29"/>
    <s v="30 Days"/>
    <d v="2017-04-30T00:00:00"/>
    <s v="AI"/>
    <m/>
    <m/>
    <m/>
    <m/>
    <m/>
    <m/>
    <s v="416266021"/>
  </r>
  <r>
    <s v="E2C1139674"/>
    <d v="2017-04-15T00:00:00"/>
    <s v="22C0321731"/>
    <x v="164"/>
    <x v="0"/>
    <x v="2"/>
    <n v="9199"/>
    <n v="9199"/>
    <n v="0"/>
    <n v="0"/>
    <n v="0"/>
    <n v="0"/>
    <n v="0"/>
    <n v="0"/>
    <n v="15"/>
    <s v="30 Days"/>
    <d v="2017-04-30T00:00:00"/>
    <s v="AI"/>
    <m/>
    <m/>
    <m/>
    <m/>
    <m/>
    <m/>
    <s v="421024185"/>
  </r>
  <r>
    <s v="E2C1106443"/>
    <d v="2017-01-13T00:00:00"/>
    <s v="22C0310629"/>
    <x v="7"/>
    <x v="0"/>
    <x v="4"/>
    <n v="9200"/>
    <n v="0"/>
    <n v="0"/>
    <n v="0"/>
    <n v="0"/>
    <n v="9200"/>
    <n v="0"/>
    <n v="9200"/>
    <n v="107"/>
    <s v="91 To 120 Days"/>
    <d v="2017-04-30T00:00:00"/>
    <s v="AI"/>
    <m/>
    <m/>
    <m/>
    <s v="EDI - Sent"/>
    <m/>
    <m/>
    <s v="4060580595"/>
  </r>
  <r>
    <s v="E2C1111395"/>
    <d v="2017-01-28T00:00:00"/>
    <s v="22C0312022"/>
    <x v="7"/>
    <x v="0"/>
    <x v="4"/>
    <n v="9244"/>
    <n v="0"/>
    <n v="0"/>
    <n v="0"/>
    <n v="0"/>
    <n v="9244"/>
    <n v="0"/>
    <n v="9244"/>
    <n v="92"/>
    <s v="91 To 120 Days"/>
    <d v="2017-04-30T00:00:00"/>
    <s v="AI"/>
    <m/>
    <m/>
    <m/>
    <s v="EDI - Sent"/>
    <d v="2017-01-30T00:00:00"/>
    <s v="EDI successfully sent"/>
    <s v="4052199304"/>
  </r>
  <r>
    <s v="E2C1132458"/>
    <d v="2017-03-28T00:00:00"/>
    <s v="22C0318949"/>
    <x v="53"/>
    <x v="0"/>
    <x v="1"/>
    <n v="9249"/>
    <n v="0"/>
    <n v="9249"/>
    <n v="0"/>
    <n v="0"/>
    <n v="0"/>
    <n v="0"/>
    <n v="0"/>
    <n v="33"/>
    <s v="31 TO 45 Days"/>
    <d v="2017-04-30T00:00:00"/>
    <s v="AI"/>
    <m/>
    <m/>
    <m/>
    <m/>
    <m/>
    <m/>
    <s v="4570270592"/>
  </r>
  <r>
    <s v="E2C1119599"/>
    <d v="2017-02-22T00:00:00"/>
    <s v="22C0315153"/>
    <x v="77"/>
    <x v="0"/>
    <x v="24"/>
    <n v="9253"/>
    <n v="0"/>
    <n v="0"/>
    <n v="0"/>
    <n v="9253"/>
    <n v="0"/>
    <n v="0"/>
    <n v="9253"/>
    <n v="67"/>
    <s v="61 To 90 Days"/>
    <d v="2017-04-30T00:00:00"/>
    <s v="AI"/>
    <m/>
    <m/>
    <m/>
    <m/>
    <m/>
    <m/>
    <s v="419165672"/>
  </r>
  <r>
    <s v="E2C1127825"/>
    <d v="2017-03-16T00:00:00"/>
    <s v="22C0317311"/>
    <x v="140"/>
    <x v="0"/>
    <x v="29"/>
    <n v="9275"/>
    <n v="0"/>
    <n v="9275"/>
    <n v="0"/>
    <n v="0"/>
    <n v="0"/>
    <n v="0"/>
    <n v="0"/>
    <n v="45"/>
    <s v="31 TO 45 Days"/>
    <d v="2017-04-30T00:00:00"/>
    <s v="AI"/>
    <n v="139.5"/>
    <s v="USD"/>
    <m/>
    <s v="EDI - Sent"/>
    <d v="2017-03-17T00:00:00"/>
    <s v="EDI successfully sent"/>
    <s v="AF00037750"/>
  </r>
  <r>
    <s v="E2C1128941"/>
    <d v="2017-03-20T00:00:00"/>
    <s v="22C0318290"/>
    <x v="58"/>
    <x v="0"/>
    <x v="1"/>
    <n v="9275"/>
    <n v="0"/>
    <n v="9275"/>
    <n v="0"/>
    <n v="0"/>
    <n v="0"/>
    <n v="0"/>
    <n v="0"/>
    <n v="41"/>
    <s v="31 TO 45 Days"/>
    <d v="2017-04-30T00:00:00"/>
    <s v="AI"/>
    <m/>
    <m/>
    <m/>
    <m/>
    <m/>
    <m/>
    <s v="423610040"/>
  </r>
  <r>
    <s v="E2C1113735"/>
    <d v="2017-02-02T00:00:00"/>
    <s v="22C0313060"/>
    <x v="1"/>
    <x v="0"/>
    <x v="1"/>
    <n v="9280"/>
    <n v="0"/>
    <n v="0"/>
    <n v="0"/>
    <n v="9280"/>
    <n v="0"/>
    <n v="0"/>
    <n v="9280"/>
    <n v="87"/>
    <s v="61 To 90 Days"/>
    <d v="2017-04-30T00:00:00"/>
    <s v="AI"/>
    <m/>
    <m/>
    <m/>
    <m/>
    <m/>
    <m/>
    <s v="4750385639"/>
  </r>
  <r>
    <s v="E2C1129371"/>
    <d v="2017-03-21T00:00:00"/>
    <s v="22C0317339"/>
    <x v="69"/>
    <x v="0"/>
    <x v="2"/>
    <n v="9284"/>
    <n v="0"/>
    <n v="9284"/>
    <n v="0"/>
    <n v="0"/>
    <n v="0"/>
    <n v="0"/>
    <n v="0"/>
    <n v="40"/>
    <s v="31 TO 45 Days"/>
    <d v="2017-04-30T00:00:00"/>
    <s v="AI"/>
    <m/>
    <m/>
    <m/>
    <m/>
    <m/>
    <m/>
    <s v="4750387955"/>
  </r>
  <r>
    <s v="E2C1130291"/>
    <d v="2017-03-23T00:00:00"/>
    <s v="22C0318078"/>
    <x v="27"/>
    <x v="0"/>
    <x v="1"/>
    <n v="9285"/>
    <n v="0"/>
    <n v="9285"/>
    <n v="0"/>
    <n v="0"/>
    <n v="0"/>
    <n v="0"/>
    <n v="0"/>
    <n v="38"/>
    <s v="31 TO 45 Days"/>
    <d v="2017-04-30T00:00:00"/>
    <s v="AI"/>
    <m/>
    <m/>
    <m/>
    <m/>
    <m/>
    <m/>
    <s v="4190211236"/>
  </r>
  <r>
    <s v="E2C1130845"/>
    <d v="2017-03-24T00:00:00"/>
    <s v="22C0318394"/>
    <x v="27"/>
    <x v="0"/>
    <x v="1"/>
    <n v="9295"/>
    <n v="0"/>
    <n v="9295"/>
    <n v="0"/>
    <n v="0"/>
    <n v="0"/>
    <n v="0"/>
    <n v="0"/>
    <n v="37"/>
    <s v="31 TO 45 Days"/>
    <d v="2017-04-30T00:00:00"/>
    <s v="AI"/>
    <m/>
    <m/>
    <m/>
    <m/>
    <m/>
    <m/>
    <s v="4190211237"/>
  </r>
  <r>
    <s v="E2C1129662"/>
    <d v="2017-03-21T00:00:00"/>
    <s v="22C0317690"/>
    <x v="140"/>
    <x v="0"/>
    <x v="29"/>
    <n v="9304"/>
    <n v="0"/>
    <n v="9304"/>
    <n v="0"/>
    <n v="0"/>
    <n v="0"/>
    <n v="0"/>
    <n v="0"/>
    <n v="40"/>
    <s v="31 TO 45 Days"/>
    <d v="2017-04-30T00:00:00"/>
    <s v="AI"/>
    <n v="139.69"/>
    <s v="USD"/>
    <m/>
    <s v="EDI - Sent"/>
    <d v="2017-03-21T00:00:00"/>
    <s v="EDI successfully sent"/>
    <s v="412121674"/>
  </r>
  <r>
    <s v="E2C1129381"/>
    <d v="2017-03-21T00:00:00"/>
    <s v="22C0317622"/>
    <x v="69"/>
    <x v="0"/>
    <x v="2"/>
    <n v="9320"/>
    <n v="0"/>
    <n v="9320"/>
    <n v="0"/>
    <n v="0"/>
    <n v="0"/>
    <n v="0"/>
    <n v="0"/>
    <n v="40"/>
    <s v="31 TO 45 Days"/>
    <d v="2017-04-30T00:00:00"/>
    <s v="AI"/>
    <m/>
    <m/>
    <m/>
    <m/>
    <m/>
    <m/>
    <s v="410290966"/>
  </r>
  <r>
    <s v="E2C1134644"/>
    <d v="2017-03-31T00:00:00"/>
    <s v="22C0319672"/>
    <x v="155"/>
    <x v="0"/>
    <x v="2"/>
    <n v="9338"/>
    <n v="9338"/>
    <n v="0"/>
    <n v="0"/>
    <n v="0"/>
    <n v="0"/>
    <n v="0"/>
    <n v="0"/>
    <n v="30"/>
    <s v="30 Days"/>
    <d v="2017-04-30T00:00:00"/>
    <s v="AI"/>
    <m/>
    <m/>
    <m/>
    <m/>
    <m/>
    <m/>
    <s v="4711239924"/>
  </r>
  <r>
    <s v="E2C1138001"/>
    <d v="2017-04-11T00:00:00"/>
    <s v="22C0321040"/>
    <x v="53"/>
    <x v="0"/>
    <x v="1"/>
    <n v="9343"/>
    <n v="9343"/>
    <n v="0"/>
    <n v="0"/>
    <n v="0"/>
    <n v="0"/>
    <n v="0"/>
    <n v="0"/>
    <n v="19"/>
    <s v="30 Days"/>
    <d v="2017-04-30T00:00:00"/>
    <s v="AI"/>
    <m/>
    <m/>
    <m/>
    <m/>
    <m/>
    <m/>
    <s v="418547617"/>
  </r>
  <r>
    <s v="E2C1135712"/>
    <d v="2017-04-04T00:00:00"/>
    <s v="22C0320378"/>
    <x v="101"/>
    <x v="0"/>
    <x v="26"/>
    <n v="9372"/>
    <n v="9372"/>
    <n v="0"/>
    <n v="0"/>
    <n v="0"/>
    <n v="0"/>
    <n v="0"/>
    <n v="0"/>
    <n v="26"/>
    <s v="30 Days"/>
    <d v="2017-04-30T00:00:00"/>
    <s v="AI"/>
    <m/>
    <m/>
    <m/>
    <m/>
    <m/>
    <m/>
    <s v="419166546"/>
  </r>
  <r>
    <s v="E2C1105669"/>
    <d v="2017-01-12T00:00:00"/>
    <s v="22C0309995"/>
    <x v="1"/>
    <x v="0"/>
    <x v="1"/>
    <n v="9398"/>
    <n v="0"/>
    <n v="0"/>
    <n v="0"/>
    <n v="0"/>
    <n v="9398"/>
    <n v="0"/>
    <n v="9398"/>
    <n v="108"/>
    <s v="91 To 120 Days"/>
    <d v="2017-04-30T00:00:00"/>
    <s v="AI"/>
    <m/>
    <m/>
    <m/>
    <m/>
    <m/>
    <m/>
    <s v="4540129252"/>
  </r>
  <r>
    <s v="E2C1138593"/>
    <d v="2017-04-12T00:00:00"/>
    <s v="22C0321283"/>
    <x v="165"/>
    <x v="0"/>
    <x v="2"/>
    <n v="9412"/>
    <n v="9412"/>
    <n v="0"/>
    <n v="0"/>
    <n v="0"/>
    <n v="0"/>
    <n v="0"/>
    <n v="0"/>
    <n v="18"/>
    <s v="30 Days"/>
    <d v="2017-04-30T00:00:00"/>
    <s v="AI"/>
    <m/>
    <m/>
    <m/>
    <m/>
    <m/>
    <m/>
    <s v="4170206223"/>
  </r>
  <r>
    <s v="E2C1131288"/>
    <d v="2017-03-24T00:00:00"/>
    <s v="22C0318327"/>
    <x v="61"/>
    <x v="0"/>
    <x v="2"/>
    <n v="9420"/>
    <n v="0"/>
    <n v="9420"/>
    <n v="0"/>
    <n v="0"/>
    <n v="0"/>
    <n v="0"/>
    <n v="0"/>
    <n v="37"/>
    <s v="31 TO 45 Days"/>
    <d v="2017-04-30T00:00:00"/>
    <s v="AI"/>
    <m/>
    <m/>
    <m/>
    <m/>
    <m/>
    <m/>
    <s v="4711237332"/>
  </r>
  <r>
    <s v="E2C1109328"/>
    <d v="2017-01-23T00:00:00"/>
    <s v="22C0311315"/>
    <x v="155"/>
    <x v="0"/>
    <x v="2"/>
    <n v="9422"/>
    <n v="0"/>
    <n v="0"/>
    <n v="0"/>
    <n v="0"/>
    <n v="9422"/>
    <n v="0"/>
    <n v="9422"/>
    <n v="97"/>
    <s v="91 To 120 Days"/>
    <d v="2017-04-30T00:00:00"/>
    <s v="AI"/>
    <m/>
    <m/>
    <m/>
    <m/>
    <m/>
    <m/>
    <s v="4711223335"/>
  </r>
  <r>
    <s v="E2C1129484"/>
    <d v="2017-03-21T00:00:00"/>
    <s v="22C0317798"/>
    <x v="155"/>
    <x v="0"/>
    <x v="2"/>
    <n v="9424"/>
    <n v="0"/>
    <n v="9424"/>
    <n v="0"/>
    <n v="0"/>
    <n v="0"/>
    <n v="0"/>
    <n v="0"/>
    <n v="40"/>
    <s v="31 TO 45 Days"/>
    <d v="2017-04-30T00:00:00"/>
    <s v="AI"/>
    <m/>
    <m/>
    <m/>
    <m/>
    <m/>
    <m/>
    <s v="4711236506"/>
  </r>
  <r>
    <s v="E2C1138103"/>
    <d v="2017-04-11T00:00:00"/>
    <s v="22C0321143"/>
    <x v="101"/>
    <x v="0"/>
    <x v="26"/>
    <n v="9427"/>
    <n v="9427"/>
    <n v="0"/>
    <n v="0"/>
    <n v="0"/>
    <n v="0"/>
    <n v="0"/>
    <n v="0"/>
    <n v="19"/>
    <s v="30 Days"/>
    <d v="2017-04-30T00:00:00"/>
    <s v="AI"/>
    <m/>
    <m/>
    <m/>
    <m/>
    <m/>
    <m/>
    <s v="419166702"/>
  </r>
  <r>
    <s v="E2C1136098"/>
    <d v="2017-04-05T00:00:00"/>
    <s v="22C0320319"/>
    <x v="22"/>
    <x v="0"/>
    <x v="14"/>
    <n v="9445"/>
    <n v="9445"/>
    <n v="0"/>
    <n v="0"/>
    <n v="0"/>
    <n v="0"/>
    <n v="0"/>
    <n v="0"/>
    <n v="25"/>
    <s v="30 Days"/>
    <d v="2017-04-30T00:00:00"/>
    <s v="AI"/>
    <m/>
    <m/>
    <m/>
    <m/>
    <m/>
    <m/>
    <s v="423610476"/>
  </r>
  <r>
    <s v="E2C1135030"/>
    <d v="2017-04-01T00:00:00"/>
    <s v="22C0320035"/>
    <x v="24"/>
    <x v="0"/>
    <x v="16"/>
    <n v="9449"/>
    <n v="9449"/>
    <n v="0"/>
    <n v="0"/>
    <n v="0"/>
    <n v="0"/>
    <n v="0"/>
    <n v="0"/>
    <n v="29"/>
    <s v="30 Days"/>
    <d v="2017-04-30T00:00:00"/>
    <s v="AI"/>
    <m/>
    <m/>
    <m/>
    <s v="EDI - Sent"/>
    <d v="2017-04-03T00:00:00"/>
    <s v="EDI successfully sent"/>
    <s v="4940189413"/>
  </r>
  <r>
    <s v="E2C1121185"/>
    <d v="2017-02-27T00:00:00"/>
    <s v="22C0315704"/>
    <x v="53"/>
    <x v="0"/>
    <x v="1"/>
    <n v="9450"/>
    <n v="0"/>
    <n v="0"/>
    <n v="0"/>
    <n v="9450"/>
    <n v="0"/>
    <n v="0"/>
    <n v="9450"/>
    <n v="62"/>
    <s v="61 To 90 Days"/>
    <d v="2017-04-30T00:00:00"/>
    <s v="AI"/>
    <m/>
    <m/>
    <m/>
    <m/>
    <m/>
    <m/>
    <s v="418546920"/>
  </r>
  <r>
    <s v="E2C1102133"/>
    <d v="2016-12-31T00:00:00"/>
    <s v="22C0300147"/>
    <x v="15"/>
    <x v="0"/>
    <x v="8"/>
    <n v="9453"/>
    <n v="0"/>
    <n v="0"/>
    <n v="0"/>
    <n v="0"/>
    <n v="9453"/>
    <n v="0"/>
    <n v="9453"/>
    <n v="120"/>
    <s v="91 To 120 Days"/>
    <d v="2017-04-30T00:00:00"/>
    <s v="AI"/>
    <m/>
    <m/>
    <m/>
    <m/>
    <m/>
    <m/>
    <s v="4395766800"/>
  </r>
  <r>
    <s v="E2C1130868"/>
    <d v="2017-03-24T00:00:00"/>
    <s v="22C0318296"/>
    <x v="53"/>
    <x v="0"/>
    <x v="1"/>
    <n v="9464"/>
    <n v="0"/>
    <n v="9464"/>
    <n v="0"/>
    <n v="0"/>
    <n v="0"/>
    <n v="0"/>
    <n v="0"/>
    <n v="37"/>
    <s v="31 TO 45 Days"/>
    <d v="2017-04-30T00:00:00"/>
    <s v="AI"/>
    <m/>
    <m/>
    <m/>
    <m/>
    <m/>
    <m/>
    <s v="4560218471"/>
  </r>
  <r>
    <s v="E2C1115577"/>
    <d v="2017-02-09T00:00:00"/>
    <s v="22C0313538"/>
    <x v="24"/>
    <x v="0"/>
    <x v="16"/>
    <n v="9466"/>
    <n v="0"/>
    <n v="0"/>
    <n v="0"/>
    <n v="9466"/>
    <n v="0"/>
    <n v="0"/>
    <n v="9466"/>
    <n v="80"/>
    <s v="61 To 90 Days"/>
    <d v="2017-04-30T00:00:00"/>
    <s v="AI"/>
    <m/>
    <m/>
    <m/>
    <m/>
    <m/>
    <m/>
    <s v="4940187813"/>
  </r>
  <r>
    <s v="E2C1122684"/>
    <d v="2017-03-01T00:00:00"/>
    <s v="22C0315728"/>
    <x v="129"/>
    <x v="0"/>
    <x v="27"/>
    <n v="9468"/>
    <n v="0"/>
    <n v="0"/>
    <n v="9468"/>
    <n v="0"/>
    <n v="0"/>
    <n v="0"/>
    <n v="0"/>
    <n v="60"/>
    <s v="46 To 60 Days"/>
    <d v="2017-04-30T00:00:00"/>
    <s v="AI"/>
    <m/>
    <m/>
    <m/>
    <m/>
    <m/>
    <m/>
    <s v="4850056532"/>
  </r>
  <r>
    <s v="E2C1116356"/>
    <d v="2017-02-10T00:00:00"/>
    <s v="22C0313913"/>
    <x v="155"/>
    <x v="0"/>
    <x v="2"/>
    <n v="9475"/>
    <n v="0"/>
    <n v="0"/>
    <n v="0"/>
    <n v="9475"/>
    <n v="0"/>
    <n v="0"/>
    <n v="9475"/>
    <n v="79"/>
    <s v="61 To 90 Days"/>
    <d v="2017-04-30T00:00:00"/>
    <s v="AI"/>
    <m/>
    <m/>
    <m/>
    <m/>
    <m/>
    <m/>
    <s v="4711228180"/>
  </r>
  <r>
    <s v="E2C1127984"/>
    <d v="2017-03-17T00:00:00"/>
    <s v="22C0317474"/>
    <x v="53"/>
    <x v="0"/>
    <x v="1"/>
    <n v="9481"/>
    <n v="0"/>
    <n v="9481"/>
    <n v="0"/>
    <n v="0"/>
    <n v="0"/>
    <n v="0"/>
    <n v="0"/>
    <n v="44"/>
    <s v="31 TO 45 Days"/>
    <d v="2017-04-30T00:00:00"/>
    <s v="AI"/>
    <m/>
    <m/>
    <m/>
    <m/>
    <m/>
    <m/>
    <s v="423609837"/>
  </r>
  <r>
    <s v="E2C1127995"/>
    <d v="2017-03-17T00:00:00"/>
    <s v="22C0317160"/>
    <x v="53"/>
    <x v="0"/>
    <x v="1"/>
    <n v="9481"/>
    <n v="0"/>
    <n v="9481"/>
    <n v="0"/>
    <n v="0"/>
    <n v="0"/>
    <n v="0"/>
    <n v="0"/>
    <n v="44"/>
    <s v="31 TO 45 Days"/>
    <d v="2017-04-30T00:00:00"/>
    <s v="AI"/>
    <m/>
    <m/>
    <m/>
    <m/>
    <m/>
    <m/>
    <s v="423609693"/>
  </r>
  <r>
    <s v="E2C1117049"/>
    <d v="2017-02-14T00:00:00"/>
    <s v="22C0314132"/>
    <x v="166"/>
    <x v="0"/>
    <x v="1"/>
    <n v="9482"/>
    <n v="0"/>
    <n v="0"/>
    <n v="0"/>
    <n v="9482"/>
    <n v="0"/>
    <n v="0"/>
    <n v="9482"/>
    <n v="75"/>
    <s v="61 To 90 Days"/>
    <d v="2017-04-30T00:00:00"/>
    <s v="AI"/>
    <m/>
    <m/>
    <m/>
    <m/>
    <m/>
    <m/>
    <s v="4711227595"/>
  </r>
  <r>
    <s v="E2C1134192"/>
    <d v="2017-03-31T00:00:00"/>
    <s v="22C0319638"/>
    <x v="69"/>
    <x v="0"/>
    <x v="2"/>
    <n v="9486"/>
    <n v="9486"/>
    <n v="0"/>
    <n v="0"/>
    <n v="0"/>
    <n v="0"/>
    <n v="0"/>
    <n v="0"/>
    <n v="30"/>
    <s v="30 Days"/>
    <d v="2017-04-30T00:00:00"/>
    <s v="AI"/>
    <m/>
    <m/>
    <m/>
    <m/>
    <m/>
    <m/>
    <s v="4400190131"/>
  </r>
  <r>
    <s v="E2C1125887"/>
    <d v="2017-03-10T00:00:00"/>
    <s v="22C0316772"/>
    <x v="140"/>
    <x v="0"/>
    <x v="29"/>
    <n v="9489"/>
    <n v="0"/>
    <n v="0"/>
    <n v="9489"/>
    <n v="0"/>
    <n v="0"/>
    <n v="0"/>
    <n v="0"/>
    <n v="51"/>
    <s v="46 To 60 Days"/>
    <d v="2017-04-30T00:00:00"/>
    <s v="AI"/>
    <n v="139.54"/>
    <s v="USD"/>
    <m/>
    <s v="EDI - Sent"/>
    <d v="2017-03-11T00:00:00"/>
    <s v="EDI successfully sent"/>
    <s v="4912890127"/>
  </r>
  <r>
    <s v="E2C1135128"/>
    <d v="2017-04-01T00:00:00"/>
    <s v="22C0319990"/>
    <x v="155"/>
    <x v="0"/>
    <x v="2"/>
    <n v="9495"/>
    <n v="9495"/>
    <n v="0"/>
    <n v="0"/>
    <n v="0"/>
    <n v="0"/>
    <n v="0"/>
    <n v="0"/>
    <n v="29"/>
    <s v="30 Days"/>
    <d v="2017-04-30T00:00:00"/>
    <s v="AI"/>
    <m/>
    <m/>
    <m/>
    <m/>
    <m/>
    <m/>
    <s v="4711240268"/>
  </r>
  <r>
    <s v="E2C1132467"/>
    <d v="2017-03-28T00:00:00"/>
    <s v="22C0318946"/>
    <x v="7"/>
    <x v="0"/>
    <x v="4"/>
    <n v="9510"/>
    <n v="0"/>
    <n v="9510"/>
    <n v="0"/>
    <n v="0"/>
    <n v="0"/>
    <n v="0"/>
    <n v="0"/>
    <n v="33"/>
    <s v="31 TO 45 Days"/>
    <d v="2017-04-30T00:00:00"/>
    <s v="AI"/>
    <m/>
    <m/>
    <m/>
    <s v="EDI - Sent"/>
    <d v="2017-03-28T00:00:00"/>
    <s v="EDI successfully sent"/>
    <s v="4570270553"/>
  </r>
  <r>
    <s v="E2C1116349"/>
    <d v="2017-02-10T00:00:00"/>
    <s v="22C0313912"/>
    <x v="155"/>
    <x v="0"/>
    <x v="2"/>
    <n v="9519"/>
    <n v="0"/>
    <n v="0"/>
    <n v="0"/>
    <n v="9519"/>
    <n v="0"/>
    <n v="0"/>
    <n v="9519"/>
    <n v="79"/>
    <s v="61 To 90 Days"/>
    <d v="2017-04-30T00:00:00"/>
    <s v="AI"/>
    <m/>
    <m/>
    <m/>
    <m/>
    <m/>
    <m/>
    <s v="4711228179"/>
  </r>
  <r>
    <s v="E2C1120419"/>
    <d v="2017-02-24T00:00:00"/>
    <s v="22C0315177"/>
    <x v="155"/>
    <x v="0"/>
    <x v="2"/>
    <n v="9529"/>
    <n v="0"/>
    <n v="0"/>
    <n v="0"/>
    <n v="9529"/>
    <n v="0"/>
    <n v="0"/>
    <n v="9529"/>
    <n v="65"/>
    <s v="61 To 90 Days"/>
    <d v="2017-04-30T00:00:00"/>
    <s v="AI"/>
    <m/>
    <m/>
    <m/>
    <m/>
    <m/>
    <m/>
    <s v="4711230848"/>
  </r>
  <r>
    <s v="E2C1121463"/>
    <d v="2017-02-27T00:00:00"/>
    <s v="22C0315838"/>
    <x v="101"/>
    <x v="0"/>
    <x v="26"/>
    <n v="9531"/>
    <n v="0"/>
    <n v="0"/>
    <n v="0"/>
    <n v="9531"/>
    <n v="0"/>
    <n v="0"/>
    <n v="9531"/>
    <n v="62"/>
    <s v="61 To 90 Days"/>
    <d v="2017-04-30T00:00:00"/>
    <s v="AI"/>
    <m/>
    <m/>
    <m/>
    <m/>
    <m/>
    <m/>
    <s v="419165757"/>
  </r>
  <r>
    <s v="E2C1131633"/>
    <d v="2017-03-25T00:00:00"/>
    <s v="22C0317608"/>
    <x v="160"/>
    <x v="0"/>
    <x v="14"/>
    <n v="9540"/>
    <n v="0"/>
    <n v="9540"/>
    <n v="0"/>
    <n v="0"/>
    <n v="0"/>
    <n v="0"/>
    <n v="0"/>
    <n v="36"/>
    <s v="31 TO 45 Days"/>
    <d v="2017-04-30T00:00:00"/>
    <s v="AI"/>
    <m/>
    <m/>
    <m/>
    <m/>
    <m/>
    <m/>
    <s v="4600157897"/>
  </r>
  <r>
    <s v="E2C1115430"/>
    <d v="2017-02-08T00:00:00"/>
    <s v="22C0313478"/>
    <x v="54"/>
    <x v="0"/>
    <x v="2"/>
    <n v="9552"/>
    <n v="0"/>
    <n v="0"/>
    <n v="0"/>
    <n v="9552"/>
    <n v="0"/>
    <n v="0"/>
    <n v="9552"/>
    <n v="81"/>
    <s v="61 To 90 Days"/>
    <d v="2017-04-30T00:00:00"/>
    <s v="AI"/>
    <m/>
    <m/>
    <m/>
    <m/>
    <m/>
    <m/>
    <s v="416563847"/>
  </r>
  <r>
    <s v="E2C1100596"/>
    <d v="2016-12-29T00:00:00"/>
    <s v="22C0309049"/>
    <x v="7"/>
    <x v="0"/>
    <x v="4"/>
    <n v="9552"/>
    <n v="0"/>
    <n v="0"/>
    <n v="0"/>
    <n v="0"/>
    <n v="0"/>
    <n v="9552"/>
    <n v="9552"/>
    <n v="122"/>
    <s v="Plus120Days"/>
    <d v="2017-04-30T00:00:00"/>
    <s v="AI"/>
    <m/>
    <m/>
    <m/>
    <s v="EDI - Sent"/>
    <m/>
    <m/>
    <s v="4750383047"/>
  </r>
  <r>
    <s v="E2C1124988"/>
    <d v="2017-03-08T00:00:00"/>
    <s v="22C0316598"/>
    <x v="140"/>
    <x v="0"/>
    <x v="29"/>
    <n v="9555"/>
    <n v="0"/>
    <n v="0"/>
    <n v="9555"/>
    <n v="0"/>
    <n v="0"/>
    <n v="0"/>
    <n v="0"/>
    <n v="53"/>
    <s v="46 To 60 Days"/>
    <d v="2017-04-30T00:00:00"/>
    <s v="AI"/>
    <n v="140.9"/>
    <s v="USD"/>
    <m/>
    <s v="EDI - Sent"/>
    <d v="2017-03-09T00:00:00"/>
    <s v="EDI successfully sent"/>
    <s v="4912888043"/>
  </r>
  <r>
    <s v="E2C1121149"/>
    <d v="2017-02-27T00:00:00"/>
    <s v="22C0314435"/>
    <x v="1"/>
    <x v="0"/>
    <x v="1"/>
    <n v="9573"/>
    <n v="0"/>
    <n v="0"/>
    <n v="0"/>
    <n v="9573"/>
    <n v="0"/>
    <n v="0"/>
    <n v="9573"/>
    <n v="62"/>
    <s v="61 To 90 Days"/>
    <d v="2017-04-30T00:00:00"/>
    <s v="AI"/>
    <m/>
    <m/>
    <m/>
    <m/>
    <m/>
    <m/>
    <s v="4540130297"/>
  </r>
  <r>
    <s v="E2C1113734"/>
    <d v="2017-02-02T00:00:00"/>
    <s v="22C0313059"/>
    <x v="1"/>
    <x v="0"/>
    <x v="1"/>
    <n v="9574"/>
    <n v="0"/>
    <n v="0"/>
    <n v="0"/>
    <n v="9574"/>
    <n v="0"/>
    <n v="0"/>
    <n v="9574"/>
    <n v="87"/>
    <s v="61 To 90 Days"/>
    <d v="2017-04-30T00:00:00"/>
    <s v="AI"/>
    <m/>
    <m/>
    <m/>
    <m/>
    <m/>
    <m/>
    <s v="4750385637"/>
  </r>
  <r>
    <s v="E2C1130858"/>
    <d v="2017-03-24T00:00:00"/>
    <s v="22C0318288"/>
    <x v="53"/>
    <x v="0"/>
    <x v="1"/>
    <n v="9584"/>
    <n v="0"/>
    <n v="9584"/>
    <n v="0"/>
    <n v="0"/>
    <n v="0"/>
    <n v="0"/>
    <n v="0"/>
    <n v="37"/>
    <s v="31 TO 45 Days"/>
    <d v="2017-04-30T00:00:00"/>
    <s v="AI"/>
    <m/>
    <m/>
    <m/>
    <m/>
    <m/>
    <m/>
    <s v="418547293"/>
  </r>
  <r>
    <s v="E2C1129396"/>
    <d v="2017-03-21T00:00:00"/>
    <s v="22C0317992"/>
    <x v="129"/>
    <x v="0"/>
    <x v="27"/>
    <n v="9599"/>
    <n v="0"/>
    <n v="9599"/>
    <n v="0"/>
    <n v="0"/>
    <n v="0"/>
    <n v="0"/>
    <n v="0"/>
    <n v="40"/>
    <s v="31 TO 45 Days"/>
    <d v="2017-04-30T00:00:00"/>
    <s v="AI"/>
    <m/>
    <m/>
    <m/>
    <m/>
    <m/>
    <m/>
    <s v="4850056903"/>
  </r>
  <r>
    <s v="E2C1137654"/>
    <d v="2017-04-10T00:00:00"/>
    <s v="22C0320292"/>
    <x v="53"/>
    <x v="0"/>
    <x v="1"/>
    <n v="9611"/>
    <n v="9611"/>
    <n v="0"/>
    <n v="0"/>
    <n v="0"/>
    <n v="0"/>
    <n v="0"/>
    <n v="0"/>
    <n v="20"/>
    <s v="30 Days"/>
    <d v="2017-04-30T00:00:00"/>
    <s v="AI"/>
    <m/>
    <m/>
    <m/>
    <m/>
    <m/>
    <m/>
    <s v="4540131561"/>
  </r>
  <r>
    <s v="E2C1117095"/>
    <d v="2017-02-14T00:00:00"/>
    <s v="22C0314118"/>
    <x v="54"/>
    <x v="0"/>
    <x v="2"/>
    <n v="9615"/>
    <n v="0"/>
    <n v="0"/>
    <n v="0"/>
    <n v="9615"/>
    <n v="0"/>
    <n v="0"/>
    <n v="9615"/>
    <n v="75"/>
    <s v="61 To 90 Days"/>
    <d v="2017-04-30T00:00:00"/>
    <s v="AI"/>
    <m/>
    <m/>
    <m/>
    <m/>
    <m/>
    <m/>
    <s v="4560217251"/>
  </r>
  <r>
    <s v="E2C1121475"/>
    <d v="2017-02-27T00:00:00"/>
    <s v="22C0315714"/>
    <x v="54"/>
    <x v="0"/>
    <x v="2"/>
    <n v="9615"/>
    <n v="0"/>
    <n v="0"/>
    <n v="0"/>
    <n v="9615"/>
    <n v="0"/>
    <n v="0"/>
    <n v="9615"/>
    <n v="62"/>
    <s v="61 To 90 Days"/>
    <d v="2017-04-30T00:00:00"/>
    <s v="AI"/>
    <m/>
    <m/>
    <m/>
    <m/>
    <m/>
    <m/>
    <s v="4560217827"/>
  </r>
  <r>
    <s v="E2C1124865"/>
    <d v="2017-03-08T00:00:00"/>
    <s v="22C0316628"/>
    <x v="54"/>
    <x v="0"/>
    <x v="2"/>
    <n v="9615"/>
    <n v="0"/>
    <n v="0"/>
    <n v="9615"/>
    <n v="0"/>
    <n v="0"/>
    <n v="0"/>
    <n v="0"/>
    <n v="53"/>
    <s v="46 To 60 Days"/>
    <d v="2017-04-30T00:00:00"/>
    <s v="AI"/>
    <m/>
    <m/>
    <m/>
    <m/>
    <m/>
    <m/>
    <s v="4560218095"/>
  </r>
  <r>
    <s v="E2C1115450"/>
    <d v="2017-02-08T00:00:00"/>
    <s v="22C0313530"/>
    <x v="1"/>
    <x v="0"/>
    <x v="1"/>
    <n v="9627"/>
    <n v="0"/>
    <n v="0"/>
    <n v="0"/>
    <n v="9627"/>
    <n v="0"/>
    <n v="0"/>
    <n v="9627"/>
    <n v="81"/>
    <s v="61 To 90 Days"/>
    <d v="2017-04-30T00:00:00"/>
    <s v="AI"/>
    <m/>
    <m/>
    <m/>
    <m/>
    <m/>
    <m/>
    <s v="4750385862"/>
  </r>
  <r>
    <s v="E2C1109995"/>
    <d v="2017-01-24T00:00:00"/>
    <s v="22C0311302"/>
    <x v="61"/>
    <x v="0"/>
    <x v="2"/>
    <n v="9631"/>
    <n v="0"/>
    <n v="0"/>
    <n v="0"/>
    <n v="0"/>
    <n v="9631"/>
    <n v="0"/>
    <n v="9631"/>
    <n v="96"/>
    <s v="91 To 120 Days"/>
    <d v="2017-04-30T00:00:00"/>
    <s v="AI"/>
    <m/>
    <m/>
    <m/>
    <m/>
    <m/>
    <m/>
    <s v="4711223001"/>
  </r>
  <r>
    <s v="E2C1121241"/>
    <d v="2017-02-27T00:00:00"/>
    <s v="22C0313658"/>
    <x v="97"/>
    <x v="0"/>
    <x v="14"/>
    <n v="9636"/>
    <n v="0"/>
    <n v="0"/>
    <n v="0"/>
    <n v="9636"/>
    <n v="0"/>
    <n v="0"/>
    <n v="9636"/>
    <n v="62"/>
    <s v="61 To 90 Days"/>
    <d v="2017-04-30T00:00:00"/>
    <s v="AI"/>
    <m/>
    <m/>
    <m/>
    <m/>
    <m/>
    <m/>
    <s v="4540130014"/>
  </r>
  <r>
    <s v="E2C1117840"/>
    <d v="2017-02-16T00:00:00"/>
    <s v="22C0314430"/>
    <x v="53"/>
    <x v="0"/>
    <x v="1"/>
    <n v="9636"/>
    <n v="0"/>
    <n v="0"/>
    <n v="0"/>
    <n v="9636"/>
    <n v="0"/>
    <n v="0"/>
    <n v="9636"/>
    <n v="73"/>
    <s v="61 To 90 Days"/>
    <d v="2017-04-30T00:00:00"/>
    <s v="AI"/>
    <m/>
    <m/>
    <m/>
    <m/>
    <m/>
    <m/>
    <s v="418546743"/>
  </r>
  <r>
    <s v="E2C1122792"/>
    <d v="2017-03-01T00:00:00"/>
    <s v="22C0315733"/>
    <x v="69"/>
    <x v="0"/>
    <x v="2"/>
    <n v="9640"/>
    <n v="0"/>
    <n v="0"/>
    <n v="9640"/>
    <n v="0"/>
    <n v="0"/>
    <n v="0"/>
    <n v="0"/>
    <n v="60"/>
    <s v="46 To 60 Days"/>
    <d v="2017-04-30T00:00:00"/>
    <s v="AI"/>
    <m/>
    <m/>
    <m/>
    <m/>
    <m/>
    <m/>
    <s v="4400188615"/>
  </r>
  <r>
    <s v="E2C1119369"/>
    <d v="2017-02-21T00:00:00"/>
    <s v="22C0314929"/>
    <x v="53"/>
    <x v="0"/>
    <x v="1"/>
    <n v="9641"/>
    <n v="0"/>
    <n v="0"/>
    <n v="0"/>
    <n v="9641"/>
    <n v="0"/>
    <n v="0"/>
    <n v="9641"/>
    <n v="68"/>
    <s v="61 To 90 Days"/>
    <d v="2017-04-30T00:00:00"/>
    <s v="AI"/>
    <m/>
    <m/>
    <m/>
    <m/>
    <m/>
    <m/>
    <s v="418546816"/>
  </r>
  <r>
    <s v="E2C1125268"/>
    <d v="2017-03-09T00:00:00"/>
    <s v="22C0316581"/>
    <x v="156"/>
    <x v="0"/>
    <x v="16"/>
    <n v="9688"/>
    <n v="0"/>
    <n v="0"/>
    <n v="9688"/>
    <n v="0"/>
    <n v="0"/>
    <n v="0"/>
    <n v="0"/>
    <n v="52"/>
    <s v="46 To 60 Days"/>
    <d v="2017-04-30T00:00:00"/>
    <s v="AI"/>
    <m/>
    <m/>
    <m/>
    <m/>
    <m/>
    <m/>
    <s v="4812073424"/>
  </r>
  <r>
    <s v="E2C1135378"/>
    <d v="2017-04-03T00:00:00"/>
    <s v="22C0320271"/>
    <x v="155"/>
    <x v="0"/>
    <x v="2"/>
    <n v="9698"/>
    <n v="9698"/>
    <n v="0"/>
    <n v="0"/>
    <n v="0"/>
    <n v="0"/>
    <n v="0"/>
    <n v="0"/>
    <n v="27"/>
    <s v="30 Days"/>
    <d v="2017-04-30T00:00:00"/>
    <s v="AI"/>
    <m/>
    <m/>
    <m/>
    <m/>
    <m/>
    <m/>
    <s v="4711241242"/>
  </r>
  <r>
    <s v="E2C1122859"/>
    <d v="2017-03-01T00:00:00"/>
    <s v="22C0315695"/>
    <x v="61"/>
    <x v="0"/>
    <x v="2"/>
    <n v="9725"/>
    <n v="0"/>
    <n v="0"/>
    <n v="9725"/>
    <n v="0"/>
    <n v="0"/>
    <n v="0"/>
    <n v="0"/>
    <n v="60"/>
    <s v="46 To 60 Days"/>
    <d v="2017-04-30T00:00:00"/>
    <s v="AI"/>
    <m/>
    <m/>
    <m/>
    <m/>
    <m/>
    <m/>
    <s v="4711232517"/>
  </r>
  <r>
    <s v="E2C1130924"/>
    <d v="2017-03-24T00:00:00"/>
    <s v="22C0318938"/>
    <x v="77"/>
    <x v="0"/>
    <x v="24"/>
    <n v="9729"/>
    <n v="0"/>
    <n v="9729"/>
    <n v="0"/>
    <n v="0"/>
    <n v="0"/>
    <n v="0"/>
    <n v="0"/>
    <n v="37"/>
    <s v="31 TO 45 Days"/>
    <d v="2017-04-30T00:00:00"/>
    <s v="AI"/>
    <m/>
    <m/>
    <m/>
    <m/>
    <m/>
    <m/>
    <s v="416564390"/>
  </r>
  <r>
    <s v="C12989057"/>
    <d v="2017-01-31T00:00:00"/>
    <s v="22C0312270"/>
    <x v="167"/>
    <x v="0"/>
    <x v="2"/>
    <n v="9735"/>
    <n v="0"/>
    <n v="0"/>
    <n v="0"/>
    <n v="9735"/>
    <n v="0"/>
    <n v="0"/>
    <n v="9735"/>
    <n v="89"/>
    <s v="61 To 90 Days"/>
    <d v="2017-04-30T00:00:00"/>
    <s v="AI"/>
    <m/>
    <m/>
    <m/>
    <m/>
    <m/>
    <m/>
    <s v="4400187072"/>
  </r>
  <r>
    <s v="E2C1131662"/>
    <d v="2017-03-27T00:00:00"/>
    <s v="22C0317671"/>
    <x v="155"/>
    <x v="0"/>
    <x v="2"/>
    <n v="9740"/>
    <n v="0"/>
    <n v="9740"/>
    <n v="0"/>
    <n v="0"/>
    <n v="0"/>
    <n v="0"/>
    <n v="0"/>
    <n v="34"/>
    <s v="31 TO 45 Days"/>
    <d v="2017-04-30T00:00:00"/>
    <s v="AI"/>
    <m/>
    <m/>
    <m/>
    <m/>
    <m/>
    <m/>
    <s v="4711236254"/>
  </r>
  <r>
    <s v="E2C1137678"/>
    <d v="2017-04-10T00:00:00"/>
    <s v="22C0320044"/>
    <x v="10"/>
    <x v="0"/>
    <x v="5"/>
    <n v="9749"/>
    <n v="9749"/>
    <n v="0"/>
    <n v="0"/>
    <n v="0"/>
    <n v="0"/>
    <n v="0"/>
    <n v="0"/>
    <n v="20"/>
    <s v="30 Days"/>
    <d v="2017-04-30T00:00:00"/>
    <s v="AI"/>
    <m/>
    <m/>
    <m/>
    <m/>
    <m/>
    <m/>
    <s v="4912910546"/>
  </r>
  <r>
    <s v="E2C1124894"/>
    <d v="2017-03-08T00:00:00"/>
    <s v="22C0316662"/>
    <x v="61"/>
    <x v="0"/>
    <x v="2"/>
    <n v="9750"/>
    <n v="0"/>
    <n v="0"/>
    <n v="9750"/>
    <n v="0"/>
    <n v="0"/>
    <n v="0"/>
    <n v="0"/>
    <n v="53"/>
    <s v="46 To 60 Days"/>
    <d v="2017-04-30T00:00:00"/>
    <s v="AI"/>
    <m/>
    <m/>
    <m/>
    <m/>
    <m/>
    <m/>
    <s v="4711234131"/>
  </r>
  <r>
    <s v="E2C1133941"/>
    <d v="2017-03-31T00:00:00"/>
    <s v="22C0319068"/>
    <x v="7"/>
    <x v="0"/>
    <x v="4"/>
    <n v="9759"/>
    <n v="9759"/>
    <n v="0"/>
    <n v="0"/>
    <n v="0"/>
    <n v="0"/>
    <n v="0"/>
    <n v="0"/>
    <n v="30"/>
    <s v="30 Days"/>
    <d v="2017-04-30T00:00:00"/>
    <s v="AI"/>
    <m/>
    <m/>
    <m/>
    <m/>
    <m/>
    <m/>
    <s v="4711236791"/>
  </r>
  <r>
    <s v="E2C1135971"/>
    <d v="2017-04-05T00:00:00"/>
    <s v="22C0320315"/>
    <x v="53"/>
    <x v="0"/>
    <x v="1"/>
    <n v="9776"/>
    <n v="9776"/>
    <n v="0"/>
    <n v="0"/>
    <n v="0"/>
    <n v="0"/>
    <n v="0"/>
    <n v="0"/>
    <n v="25"/>
    <s v="30 Days"/>
    <d v="2017-04-30T00:00:00"/>
    <s v="AI"/>
    <m/>
    <m/>
    <m/>
    <m/>
    <m/>
    <m/>
    <s v="4570271004"/>
  </r>
  <r>
    <s v="E2C1135239"/>
    <d v="2017-04-03T00:00:00"/>
    <s v="22C0320300"/>
    <x v="83"/>
    <x v="0"/>
    <x v="23"/>
    <n v="9782"/>
    <n v="9782"/>
    <n v="0"/>
    <n v="0"/>
    <n v="0"/>
    <n v="0"/>
    <n v="0"/>
    <n v="0"/>
    <n v="27"/>
    <s v="30 Days"/>
    <d v="2017-04-30T00:00:00"/>
    <s v="AI"/>
    <m/>
    <m/>
    <m/>
    <m/>
    <m/>
    <m/>
    <s v="4560219132"/>
  </r>
  <r>
    <s v="E2C1136487"/>
    <d v="2017-04-06T00:00:00"/>
    <s v="22C0320661"/>
    <x v="47"/>
    <x v="0"/>
    <x v="17"/>
    <n v="9784"/>
    <n v="9784"/>
    <n v="0"/>
    <n v="0"/>
    <n v="0"/>
    <n v="0"/>
    <n v="0"/>
    <n v="0"/>
    <n v="24"/>
    <s v="30 Days"/>
    <d v="2017-04-30T00:00:00"/>
    <s v="AI"/>
    <m/>
    <m/>
    <m/>
    <m/>
    <m/>
    <m/>
    <s v="454013159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6" cacheId="2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showHeaders="0" compact="0" compactData="0" gridDropZones="1" multipleFieldFilters="0">
  <location ref="A3:K173" firstHeaderRow="1" firstDataRow="2" firstDataCol="3"/>
  <pivotFields count="25">
    <pivotField compact="0" outline="0" showAll="0" defaultSubtotal="0"/>
    <pivotField compact="0" numFmtId="15" outline="0" showAll="0" defaultSubtotal="0"/>
    <pivotField compact="0" outline="0" showAll="0" defaultSubtotal="0"/>
    <pivotField axis="axisRow" compact="0" outline="0" showAll="0" sortType="descending" defaultSubtotal="0">
      <items count="312">
        <item x="145"/>
        <item x="162"/>
        <item x="166"/>
        <item m="1" x="180"/>
        <item m="1" x="227"/>
        <item x="12"/>
        <item x="81"/>
        <item x="75"/>
        <item m="1" x="173"/>
        <item m="1" x="283"/>
        <item x="66"/>
        <item m="1" x="274"/>
        <item x="101"/>
        <item m="1" x="187"/>
        <item x="143"/>
        <item x="21"/>
        <item m="1" x="256"/>
        <item m="1" x="233"/>
        <item x="3"/>
        <item x="60"/>
        <item m="1" x="287"/>
        <item x="160"/>
        <item x="153"/>
        <item m="1" x="243"/>
        <item x="50"/>
        <item x="72"/>
        <item m="1" x="208"/>
        <item x="39"/>
        <item x="86"/>
        <item m="1" x="244"/>
        <item x="24"/>
        <item x="14"/>
        <item x="131"/>
        <item m="1" x="209"/>
        <item m="1" x="225"/>
        <item m="1" x="268"/>
        <item m="1" x="220"/>
        <item m="1" x="176"/>
        <item x="46"/>
        <item m="1" x="230"/>
        <item m="1" x="192"/>
        <item m="1" x="181"/>
        <item m="1" x="203"/>
        <item m="1" x="235"/>
        <item m="1" x="297"/>
        <item x="15"/>
        <item m="1" x="226"/>
        <item m="1" x="275"/>
        <item x="23"/>
        <item x="20"/>
        <item m="1" x="214"/>
        <item m="1" x="215"/>
        <item x="25"/>
        <item x="16"/>
        <item m="1" x="301"/>
        <item x="82"/>
        <item m="1" x="238"/>
        <item x="5"/>
        <item x="63"/>
        <item m="1" x="257"/>
        <item x="28"/>
        <item x="48"/>
        <item x="58"/>
        <item x="38"/>
        <item x="56"/>
        <item x="156"/>
        <item x="83"/>
        <item x="135"/>
        <item x="18"/>
        <item m="1" x="259"/>
        <item m="1" x="204"/>
        <item m="1" x="269"/>
        <item x="73"/>
        <item x="10"/>
        <item x="100"/>
        <item m="1" x="210"/>
        <item x="47"/>
        <item x="7"/>
        <item x="17"/>
        <item m="1" x="168"/>
        <item m="1" x="258"/>
        <item m="1" x="293"/>
        <item x="91"/>
        <item x="95"/>
        <item x="22"/>
        <item x="65"/>
        <item m="1" x="299"/>
        <item x="27"/>
        <item x="2"/>
        <item x="26"/>
        <item m="1" x="247"/>
        <item m="1" x="169"/>
        <item x="55"/>
        <item x="78"/>
        <item x="61"/>
        <item x="79"/>
        <item x="30"/>
        <item x="41"/>
        <item x="43"/>
        <item m="1" x="270"/>
        <item m="1" x="302"/>
        <item x="13"/>
        <item x="157"/>
        <item m="1" x="266"/>
        <item m="1" x="245"/>
        <item m="1" x="250"/>
        <item x="104"/>
        <item x="44"/>
        <item m="1" x="221"/>
        <item x="129"/>
        <item x="77"/>
        <item m="1" x="197"/>
        <item m="1" x="171"/>
        <item x="70"/>
        <item x="102"/>
        <item x="19"/>
        <item m="1" x="304"/>
        <item m="1" x="200"/>
        <item m="1" x="228"/>
        <item x="49"/>
        <item m="1" x="284"/>
        <item m="1" x="288"/>
        <item x="103"/>
        <item m="1" x="271"/>
        <item m="1" x="206"/>
        <item x="33"/>
        <item m="1" x="182"/>
        <item x="125"/>
        <item x="93"/>
        <item m="1" x="216"/>
        <item x="74"/>
        <item x="109"/>
        <item m="1" x="309"/>
        <item x="0"/>
        <item x="139"/>
        <item x="76"/>
        <item m="1" x="305"/>
        <item x="85"/>
        <item m="1" x="267"/>
        <item m="1" x="222"/>
        <item m="1" x="300"/>
        <item x="136"/>
        <item x="138"/>
        <item x="146"/>
        <item m="1" x="260"/>
        <item x="64"/>
        <item m="1" x="207"/>
        <item m="1" x="279"/>
        <item x="94"/>
        <item x="120"/>
        <item x="127"/>
        <item m="1" x="177"/>
        <item x="67"/>
        <item m="1" x="261"/>
        <item x="52"/>
        <item m="1" x="211"/>
        <item m="1" x="272"/>
        <item x="4"/>
        <item m="1" x="252"/>
        <item x="40"/>
        <item x="116"/>
        <item x="80"/>
        <item m="1" x="212"/>
        <item m="1" x="172"/>
        <item x="59"/>
        <item x="121"/>
        <item m="1" x="183"/>
        <item m="1" x="188"/>
        <item x="158"/>
        <item x="92"/>
        <item x="117"/>
        <item m="1" x="306"/>
        <item x="68"/>
        <item m="1" x="198"/>
        <item x="69"/>
        <item m="1" x="236"/>
        <item x="89"/>
        <item x="155"/>
        <item x="128"/>
        <item x="51"/>
        <item m="1" x="291"/>
        <item x="90"/>
        <item m="1" x="253"/>
        <item m="1" x="292"/>
        <item x="87"/>
        <item x="42"/>
        <item m="1" x="262"/>
        <item x="36"/>
        <item x="53"/>
        <item m="1" x="201"/>
        <item x="57"/>
        <item x="140"/>
        <item x="11"/>
        <item m="1" x="280"/>
        <item m="1" x="241"/>
        <item m="1" x="248"/>
        <item m="1" x="311"/>
        <item x="163"/>
        <item m="1" x="251"/>
        <item m="1" x="307"/>
        <item m="1" x="249"/>
        <item m="1" x="254"/>
        <item x="71"/>
        <item m="1" x="263"/>
        <item m="1" x="189"/>
        <item x="88"/>
        <item x="99"/>
        <item m="1" x="178"/>
        <item m="1" x="184"/>
        <item m="1" x="217"/>
        <item x="159"/>
        <item x="6"/>
        <item x="96"/>
        <item x="32"/>
        <item m="1" x="202"/>
        <item x="124"/>
        <item m="1" x="281"/>
        <item x="164"/>
        <item x="1"/>
        <item x="98"/>
        <item m="1" x="174"/>
        <item x="111"/>
        <item m="1" x="276"/>
        <item x="29"/>
        <item m="1" x="273"/>
        <item x="35"/>
        <item x="133"/>
        <item m="1" x="294"/>
        <item x="37"/>
        <item m="1" x="265"/>
        <item x="114"/>
        <item x="151"/>
        <item m="1" x="239"/>
        <item x="147"/>
        <item x="123"/>
        <item m="1" x="218"/>
        <item m="1" x="278"/>
        <item m="1" x="255"/>
        <item x="126"/>
        <item x="97"/>
        <item m="1" x="308"/>
        <item x="106"/>
        <item x="34"/>
        <item m="1" x="295"/>
        <item m="1" x="170"/>
        <item x="110"/>
        <item m="1" x="264"/>
        <item x="134"/>
        <item m="1" x="240"/>
        <item x="108"/>
        <item m="1" x="219"/>
        <item m="1" x="190"/>
        <item x="9"/>
        <item x="137"/>
        <item x="132"/>
        <item m="1" x="185"/>
        <item x="112"/>
        <item m="1" x="285"/>
        <item x="113"/>
        <item x="45"/>
        <item x="154"/>
        <item m="1" x="298"/>
        <item m="1" x="195"/>
        <item x="144"/>
        <item m="1" x="310"/>
        <item x="118"/>
        <item m="1" x="246"/>
        <item m="1" x="231"/>
        <item m="1" x="286"/>
        <item x="149"/>
        <item m="1" x="224"/>
        <item m="1" x="199"/>
        <item m="1" x="193"/>
        <item m="1" x="194"/>
        <item m="1" x="277"/>
        <item m="1" x="205"/>
        <item m="1" x="234"/>
        <item m="1" x="290"/>
        <item m="1" x="242"/>
        <item m="1" x="229"/>
        <item x="165"/>
        <item m="1" x="232"/>
        <item m="1" x="289"/>
        <item x="167"/>
        <item m="1" x="175"/>
        <item x="148"/>
        <item m="1" x="303"/>
        <item x="115"/>
        <item x="84"/>
        <item m="1" x="191"/>
        <item x="8"/>
        <item x="119"/>
        <item x="161"/>
        <item x="54"/>
        <item x="62"/>
        <item m="1" x="179"/>
        <item m="1" x="237"/>
        <item m="1" x="282"/>
        <item m="1" x="296"/>
        <item x="107"/>
        <item m="1" x="196"/>
        <item x="122"/>
        <item m="1" x="223"/>
        <item x="31"/>
        <item x="141"/>
        <item m="1" x="186"/>
        <item x="150"/>
        <item x="152"/>
        <item m="1" x="213"/>
        <item x="130"/>
        <item x="142"/>
        <item x="105"/>
      </items>
      <autoSortScope>
        <pivotArea dataOnly="0" outline="0" fieldPosition="0">
          <references count="1">
            <reference field="4294967294" count="1" selected="0">
              <x v="7"/>
            </reference>
          </references>
        </pivotArea>
      </autoSortScope>
    </pivotField>
    <pivotField axis="axisRow" compact="0" outline="0" showAll="0" defaultSubtotal="0">
      <items count="297">
        <item m="1" x="230"/>
        <item m="1" x="138"/>
        <item m="1" x="10"/>
        <item m="1" x="85"/>
        <item m="1" x="231"/>
        <item m="1" x="60"/>
        <item m="1" x="240"/>
        <item m="1" x="28"/>
        <item m="1" x="280"/>
        <item m="1" x="143"/>
        <item m="1" x="120"/>
        <item m="1" x="92"/>
        <item m="1" x="195"/>
        <item m="1" x="106"/>
        <item m="1" x="57"/>
        <item m="1" x="286"/>
        <item m="1" x="93"/>
        <item m="1" x="139"/>
        <item m="1" x="140"/>
        <item m="1" x="176"/>
        <item m="1" x="255"/>
        <item m="1" x="192"/>
        <item m="1" x="74"/>
        <item m="1" x="50"/>
        <item m="1" x="235"/>
        <item m="1" x="214"/>
        <item m="1" x="48"/>
        <item m="1" x="260"/>
        <item m="1" x="186"/>
        <item m="1" x="2"/>
        <item m="1" x="161"/>
        <item m="1" x="290"/>
        <item m="1" x="100"/>
        <item m="1" x="171"/>
        <item m="1" x="167"/>
        <item m="1" x="68"/>
        <item m="1" x="124"/>
        <item m="1" x="79"/>
        <item m="1" x="65"/>
        <item m="1" x="118"/>
        <item m="1" x="7"/>
        <item m="1" x="234"/>
        <item m="1" x="229"/>
        <item m="1" x="37"/>
        <item m="1" x="163"/>
        <item m="1" x="111"/>
        <item m="1" x="164"/>
        <item m="1" x="162"/>
        <item m="1" x="19"/>
        <item m="1" x="191"/>
        <item m="1" x="232"/>
        <item m="1" x="200"/>
        <item m="1" x="246"/>
        <item m="1" x="103"/>
        <item m="1" x="294"/>
        <item m="1" x="204"/>
        <item m="1" x="36"/>
        <item m="1" x="228"/>
        <item m="1" x="254"/>
        <item m="1" x="76"/>
        <item m="1" x="13"/>
        <item m="1" x="261"/>
        <item m="1" x="32"/>
        <item m="1" x="269"/>
        <item m="1" x="279"/>
        <item m="1" x="133"/>
        <item m="1" x="40"/>
        <item m="1" x="107"/>
        <item m="1" x="194"/>
        <item m="1" x="94"/>
        <item m="1" x="8"/>
        <item m="1" x="54"/>
        <item m="1" x="277"/>
        <item m="1" x="51"/>
        <item m="1" x="243"/>
        <item m="1" x="292"/>
        <item m="1" x="205"/>
        <item m="1" x="29"/>
        <item m="1" x="63"/>
        <item m="1" x="244"/>
        <item m="1" x="221"/>
        <item m="1" x="275"/>
        <item m="1" x="174"/>
        <item m="1" x="20"/>
        <item m="1" x="201"/>
        <item m="1" x="179"/>
        <item m="1" x="209"/>
        <item m="1" x="252"/>
        <item m="1" x="123"/>
        <item m="1" x="156"/>
        <item m="1" x="166"/>
        <item m="1" x="223"/>
        <item m="1" x="108"/>
        <item m="1" x="169"/>
        <item m="1" x="263"/>
        <item m="1" x="113"/>
        <item m="1" x="287"/>
        <item m="1" x="281"/>
        <item m="1" x="34"/>
        <item m="1" x="196"/>
        <item m="1" x="91"/>
        <item m="1" x="30"/>
        <item m="1" x="64"/>
        <item m="1" x="141"/>
        <item m="1" x="282"/>
        <item m="1" x="197"/>
        <item m="1" x="278"/>
        <item m="1" x="1"/>
        <item m="1" x="55"/>
        <item m="1" x="253"/>
        <item m="1" x="144"/>
        <item m="1" x="247"/>
        <item m="1" x="38"/>
        <item m="1" x="173"/>
        <item m="1" x="175"/>
        <item m="1" x="218"/>
        <item m="1" x="272"/>
        <item m="1" x="21"/>
        <item m="1" x="184"/>
        <item m="1" x="97"/>
        <item m="1" x="157"/>
        <item m="1" x="45"/>
        <item m="1" x="264"/>
        <item m="1" x="225"/>
        <item m="1" x="61"/>
        <item m="1" x="81"/>
        <item m="1" x="59"/>
        <item m="1" x="77"/>
        <item m="1" x="9"/>
        <item m="1" x="11"/>
        <item m="1" x="142"/>
        <item m="1" x="82"/>
        <item m="1" x="248"/>
        <item m="1" x="220"/>
        <item m="1" x="271"/>
        <item m="1" x="135"/>
        <item m="1" x="33"/>
        <item m="1" x="39"/>
        <item m="1" x="219"/>
        <item m="1" x="262"/>
        <item m="1" x="115"/>
        <item n="XXX" m="1" x="265"/>
        <item m="1" x="15"/>
        <item m="1" x="180"/>
        <item m="1" x="104"/>
        <item m="1" x="258"/>
        <item m="1" x="177"/>
        <item m="1" x="23"/>
        <item m="1" x="211"/>
        <item m="1" x="16"/>
        <item m="1" x="62"/>
        <item m="1" x="146"/>
        <item m="1" x="288"/>
        <item m="1" x="283"/>
        <item m="1" x="224"/>
        <item m="1" x="293"/>
        <item m="1" x="114"/>
        <item m="1" x="172"/>
        <item m="1" x="53"/>
        <item m="1" x="199"/>
        <item m="1" x="126"/>
        <item m="1" x="12"/>
        <item m="1" x="168"/>
        <item m="1" x="270"/>
        <item m="1" x="267"/>
        <item m="1" x="295"/>
        <item m="1" x="35"/>
        <item m="1" x="3"/>
        <item m="1" x="274"/>
        <item m="1" x="190"/>
        <item m="1" x="215"/>
        <item m="1" x="101"/>
        <item m="1" x="181"/>
        <item m="1" x="289"/>
        <item m="1" x="132"/>
        <item m="1" x="58"/>
        <item m="1" x="185"/>
        <item m="1" x="245"/>
        <item m="1" x="25"/>
        <item m="1" x="47"/>
        <item m="1" x="153"/>
        <item m="1" x="212"/>
        <item m="1" x="276"/>
        <item m="1" x="227"/>
        <item m="1" x="26"/>
        <item m="1" x="14"/>
        <item m="1" x="242"/>
        <item m="1" x="134"/>
        <item m="1" x="249"/>
        <item m="1" x="152"/>
        <item m="1" x="18"/>
        <item m="1" x="284"/>
        <item m="1" x="154"/>
        <item m="1" x="233"/>
        <item m="1" x="259"/>
        <item m="1" x="116"/>
        <item m="1" x="256"/>
        <item m="1" x="129"/>
        <item m="1" x="42"/>
        <item m="1" x="222"/>
        <item m="1" x="217"/>
        <item m="1" x="80"/>
        <item m="1" x="206"/>
        <item m="1" x="41"/>
        <item m="1" x="266"/>
        <item m="1" x="203"/>
        <item m="1" x="213"/>
        <item m="1" x="136"/>
        <item m="1" x="189"/>
        <item m="1" x="66"/>
        <item m="1" x="110"/>
        <item m="1" x="88"/>
        <item m="1" x="236"/>
        <item m="1" x="105"/>
        <item m="1" x="73"/>
        <item m="1" x="237"/>
        <item m="1" x="102"/>
        <item m="1" x="165"/>
        <item m="1" x="86"/>
        <item m="1" x="187"/>
        <item m="1" x="241"/>
        <item m="1" x="98"/>
        <item m="1" x="43"/>
        <item m="1" x="24"/>
        <item m="1" x="83"/>
        <item m="1" x="109"/>
        <item m="1" x="89"/>
        <item m="1" x="207"/>
        <item m="1" x="67"/>
        <item m="1" x="17"/>
        <item m="1" x="150"/>
        <item m="1" x="198"/>
        <item m="1" x="238"/>
        <item m="1" x="84"/>
        <item m="1" x="52"/>
        <item m="1" x="49"/>
        <item m="1" x="78"/>
        <item m="1" x="291"/>
        <item m="1" x="137"/>
        <item m="1" x="208"/>
        <item m="1" x="121"/>
        <item m="1" x="188"/>
        <item m="1" x="56"/>
        <item m="1" x="250"/>
        <item m="1" x="69"/>
        <item m="1" x="87"/>
        <item m="1" x="122"/>
        <item m="1" x="46"/>
        <item m="1" x="72"/>
        <item m="1" x="70"/>
        <item m="1" x="149"/>
        <item m="1" x="90"/>
        <item m="1" x="145"/>
        <item m="1" x="158"/>
        <item m="1" x="170"/>
        <item m="1" x="5"/>
        <item m="1" x="183"/>
        <item m="1" x="44"/>
        <item m="1" x="155"/>
        <item m="1" x="125"/>
        <item m="1" x="202"/>
        <item m="1" x="273"/>
        <item m="1" x="75"/>
        <item m="1" x="159"/>
        <item m="1" x="119"/>
        <item m="1" x="99"/>
        <item m="1" x="210"/>
        <item m="1" x="160"/>
        <item m="1" x="251"/>
        <item m="1" x="151"/>
        <item m="1" x="216"/>
        <item m="1" x="27"/>
        <item m="1" x="31"/>
        <item m="1" x="96"/>
        <item m="1" x="130"/>
        <item m="1" x="117"/>
        <item m="1" x="226"/>
        <item m="1" x="95"/>
        <item m="1" x="148"/>
        <item m="1" x="296"/>
        <item m="1" x="268"/>
        <item m="1" x="182"/>
        <item m="1" x="131"/>
        <item m="1" x="239"/>
        <item m="1" x="112"/>
        <item m="1" x="22"/>
        <item m="1" x="193"/>
        <item m="1" x="71"/>
        <item m="1" x="6"/>
        <item m="1" x="127"/>
        <item m="1" x="285"/>
        <item m="1" x="147"/>
        <item m="1" x="257"/>
        <item m="1" x="128"/>
        <item m="1" x="4"/>
        <item m="1" x="178"/>
        <item n="XXX2" x="0"/>
      </items>
    </pivotField>
    <pivotField axis="axisRow" compact="0" outline="0" showAll="0" defaultSubtotal="0">
      <items count="45">
        <item x="2"/>
        <item x="10"/>
        <item x="0"/>
        <item x="27"/>
        <item m="1" x="43"/>
        <item x="3"/>
        <item x="30"/>
        <item m="1" x="41"/>
        <item x="19"/>
        <item x="14"/>
        <item m="1" x="37"/>
        <item m="1" x="36"/>
        <item x="7"/>
        <item m="1" x="34"/>
        <item x="18"/>
        <item m="1" x="33"/>
        <item x="22"/>
        <item x="1"/>
        <item x="12"/>
        <item x="9"/>
        <item x="17"/>
        <item m="1" x="38"/>
        <item m="1" x="44"/>
        <item x="11"/>
        <item x="16"/>
        <item m="1" x="35"/>
        <item m="1" x="42"/>
        <item x="6"/>
        <item x="8"/>
        <item x="13"/>
        <item x="25"/>
        <item m="1" x="39"/>
        <item m="1" x="31"/>
        <item x="23"/>
        <item x="24"/>
        <item x="5"/>
        <item m="1" x="40"/>
        <item x="20"/>
        <item x="29"/>
        <item m="1" x="32"/>
        <item x="26"/>
        <item x="21"/>
        <item x="4"/>
        <item x="28"/>
        <item x="15"/>
      </items>
    </pivotField>
    <pivotField dataField="1" compact="0" numFmtId="38" outline="0" showAll="0" defaultSubtotal="0"/>
    <pivotField dataField="1" compact="0" numFmtId="38" outline="0" showAll="0" defaultSubtotal="0"/>
    <pivotField dataField="1" compact="0" numFmtId="38" outline="0" showAll="0" defaultSubtotal="0"/>
    <pivotField dataField="1" compact="0" numFmtId="38" outline="0" showAll="0" defaultSubtotal="0"/>
    <pivotField dataField="1" compact="0" numFmtId="38" outline="0" showAll="0" defaultSubtotal="0"/>
    <pivotField dataField="1" compact="0" numFmtId="38" outline="0" showAll="0" defaultSubtotal="0"/>
    <pivotField dataField="1" compact="0" numFmtId="38" outline="0" showAll="0" defaultSubtotal="0"/>
    <pivotField dataField="1" compact="0" numFmtId="38" outline="0" showAll="0" defaultSubtotal="0"/>
    <pivotField compact="0" numFmtId="1" outline="0" showAll="0" defaultSubtotal="0"/>
    <pivotField compact="0" outline="0" showAll="0" defaultSubtotal="0"/>
    <pivotField compact="0" numFmtId="15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3">
    <field x="3"/>
    <field x="4"/>
    <field x="5"/>
  </rowFields>
  <rowItems count="169">
    <i>
      <x v="77"/>
      <x v="296"/>
      <x v="42"/>
    </i>
    <i>
      <x v="293"/>
      <x v="296"/>
      <x/>
    </i>
    <i>
      <x v="177"/>
      <x v="296"/>
      <x/>
    </i>
    <i>
      <x v="94"/>
      <x v="296"/>
      <x/>
    </i>
    <i>
      <x v="218"/>
      <x v="296"/>
      <x v="17"/>
    </i>
    <i>
      <x v="174"/>
      <x v="296"/>
      <x/>
    </i>
    <i>
      <x v="60"/>
      <x v="296"/>
      <x v="20"/>
    </i>
    <i>
      <x v="188"/>
      <x v="296"/>
      <x v="17"/>
    </i>
    <i>
      <x v="49"/>
      <x v="296"/>
      <x/>
    </i>
    <i>
      <x v="6"/>
      <x v="296"/>
      <x v="5"/>
    </i>
    <i>
      <x v="30"/>
      <x v="296"/>
      <x v="24"/>
    </i>
    <i>
      <x v="187"/>
      <x v="296"/>
      <x/>
    </i>
    <i>
      <x v="45"/>
      <x v="296"/>
      <x v="28"/>
    </i>
    <i>
      <x v="191"/>
      <x v="296"/>
      <x v="38"/>
    </i>
    <i>
      <x v="93"/>
      <x v="296"/>
      <x v="17"/>
    </i>
    <i>
      <x v="239"/>
      <x v="296"/>
      <x v="9"/>
    </i>
    <i>
      <x v="110"/>
      <x v="296"/>
      <x v="34"/>
    </i>
    <i>
      <x v="58"/>
      <x v="296"/>
      <x v="12"/>
    </i>
    <i>
      <x v="109"/>
      <x v="296"/>
      <x v="3"/>
    </i>
    <i>
      <x v="84"/>
      <x v="296"/>
      <x v="9"/>
    </i>
    <i>
      <x v="74"/>
      <x v="296"/>
      <x v="24"/>
    </i>
    <i>
      <x v="88"/>
      <x v="296"/>
      <x/>
    </i>
    <i>
      <x v="283"/>
      <x v="296"/>
      <x/>
    </i>
    <i>
      <x v="12"/>
      <x v="296"/>
      <x v="40"/>
    </i>
    <i>
      <x v="2"/>
      <x v="296"/>
      <x v="17"/>
    </i>
    <i>
      <x v="96"/>
      <x v="296"/>
      <x v="14"/>
    </i>
    <i>
      <x v="197"/>
      <x v="296"/>
      <x v="17"/>
    </i>
    <i>
      <x v="292"/>
      <x v="296"/>
      <x/>
    </i>
    <i>
      <x v="21"/>
      <x v="296"/>
      <x v="9"/>
    </i>
    <i>
      <x v="168"/>
      <x v="296"/>
      <x/>
    </i>
    <i>
      <x v="67"/>
      <x v="296"/>
      <x v="43"/>
    </i>
    <i>
      <x v="143"/>
      <x v="296"/>
      <x v="6"/>
    </i>
    <i>
      <x v="260"/>
      <x v="296"/>
      <x/>
    </i>
    <i>
      <x v="113"/>
      <x v="296"/>
      <x v="12"/>
    </i>
    <i>
      <x v="247"/>
      <x v="296"/>
      <x/>
    </i>
    <i>
      <x v="32"/>
      <x v="296"/>
      <x/>
    </i>
    <i>
      <x v="265"/>
      <x v="296"/>
      <x/>
    </i>
    <i>
      <x v="245"/>
      <x v="296"/>
      <x/>
    </i>
    <i>
      <x v="234"/>
      <x v="296"/>
      <x/>
    </i>
    <i>
      <x v="299"/>
      <x v="296"/>
      <x/>
    </i>
    <i>
      <x v="128"/>
      <x v="296"/>
      <x v="2"/>
    </i>
    <i>
      <x v="28"/>
      <x v="296"/>
      <x v="24"/>
    </i>
    <i>
      <x v="53"/>
      <x v="296"/>
      <x v="19"/>
    </i>
    <i>
      <x v="119"/>
      <x v="296"/>
      <x v="37"/>
    </i>
    <i>
      <x v="15"/>
      <x v="296"/>
      <x v="29"/>
    </i>
    <i>
      <x v="152"/>
      <x v="296"/>
      <x v="20"/>
    </i>
    <i>
      <x v="68"/>
      <x v="296"/>
      <x v="23"/>
    </i>
    <i>
      <x v="10"/>
      <x v="296"/>
      <x v="17"/>
    </i>
    <i>
      <x v="294"/>
      <x v="296"/>
      <x/>
    </i>
    <i>
      <x v="76"/>
      <x v="296"/>
      <x v="20"/>
    </i>
    <i>
      <x v="38"/>
      <x v="296"/>
      <x/>
    </i>
    <i>
      <x v="225"/>
      <x v="296"/>
      <x v="5"/>
    </i>
    <i>
      <x v="78"/>
      <x v="296"/>
      <x v="1"/>
    </i>
    <i>
      <x v="31"/>
      <x v="296"/>
      <x/>
    </i>
    <i>
      <x v="192"/>
      <x v="296"/>
      <x v="27"/>
    </i>
    <i>
      <x v="211"/>
      <x v="296"/>
      <x v="17"/>
    </i>
    <i>
      <x v="133"/>
      <x v="296"/>
      <x v="2"/>
    </i>
    <i>
      <x v="226"/>
      <x v="296"/>
      <x/>
    </i>
    <i>
      <x v="185"/>
      <x v="296"/>
      <x/>
    </i>
    <i>
      <x v="97"/>
      <x v="296"/>
      <x v="8"/>
    </i>
    <i>
      <x v="98"/>
      <x v="296"/>
      <x/>
    </i>
    <i>
      <x v="205"/>
      <x v="296"/>
      <x/>
    </i>
    <i>
      <x v="101"/>
      <x v="296"/>
      <x/>
    </i>
    <i>
      <x v="241"/>
      <x v="296"/>
      <x/>
    </i>
    <i>
      <x v="102"/>
      <x v="296"/>
      <x/>
    </i>
    <i>
      <x v="89"/>
      <x v="296"/>
      <x/>
    </i>
    <i>
      <x v="106"/>
      <x v="296"/>
      <x v="17"/>
    </i>
    <i>
      <x v="52"/>
      <x v="296"/>
      <x/>
    </i>
    <i>
      <x v="107"/>
      <x v="296"/>
      <x/>
    </i>
    <i>
      <x v="55"/>
      <x v="296"/>
      <x/>
    </i>
    <i>
      <x v="7"/>
      <x v="296"/>
      <x v="19"/>
    </i>
    <i>
      <x v="233"/>
      <x v="296"/>
      <x/>
    </i>
    <i>
      <x v="25"/>
      <x v="296"/>
      <x/>
    </i>
    <i>
      <x v="249"/>
      <x v="296"/>
      <x/>
    </i>
    <i>
      <x v="63"/>
      <x v="296"/>
      <x/>
    </i>
    <i>
      <x v="269"/>
      <x v="296"/>
      <x/>
    </i>
    <i>
      <x v="114"/>
      <x v="296"/>
      <x/>
    </i>
    <i>
      <x v="181"/>
      <x v="296"/>
      <x/>
    </i>
    <i>
      <x v="115"/>
      <x v="296"/>
      <x v="18"/>
    </i>
    <i>
      <x v="5"/>
      <x v="296"/>
      <x v="12"/>
    </i>
    <i>
      <x v="83"/>
      <x v="296"/>
      <x v="30"/>
    </i>
    <i>
      <x v="95"/>
      <x v="296"/>
      <x v="44"/>
    </i>
    <i>
      <x v="122"/>
      <x v="296"/>
      <x/>
    </i>
    <i>
      <x v="19"/>
      <x v="296"/>
      <x v="16"/>
    </i>
    <i>
      <x v="125"/>
      <x v="296"/>
      <x/>
    </i>
    <i>
      <x v="221"/>
      <x v="296"/>
      <x/>
    </i>
    <i>
      <x v="127"/>
      <x v="296"/>
      <x/>
    </i>
    <i>
      <x v="230"/>
      <x v="296"/>
      <x v="44"/>
    </i>
    <i>
      <x v="1"/>
      <x v="296"/>
      <x v="12"/>
    </i>
    <i>
      <x v="238"/>
      <x v="296"/>
      <x/>
    </i>
    <i>
      <x v="130"/>
      <x v="296"/>
      <x/>
    </i>
    <i>
      <x v="24"/>
      <x v="296"/>
      <x/>
    </i>
    <i>
      <x v="131"/>
      <x v="296"/>
      <x/>
    </i>
    <i>
      <x v="253"/>
      <x v="296"/>
      <x/>
    </i>
    <i>
      <x v="256"/>
      <x v="296"/>
      <x/>
    </i>
    <i>
      <x v="259"/>
      <x v="296"/>
      <x/>
    </i>
    <i>
      <x v="263"/>
      <x v="296"/>
      <x/>
    </i>
    <i>
      <x v="134"/>
      <x v="296"/>
      <x/>
    </i>
    <i>
      <x v="14"/>
      <x v="296"/>
      <x/>
    </i>
    <i>
      <x v="135"/>
      <x v="296"/>
      <x/>
    </i>
    <i>
      <x v="179"/>
      <x v="296"/>
      <x v="5"/>
    </i>
    <i>
      <x v="137"/>
      <x v="296"/>
      <x/>
    </i>
    <i>
      <x v="184"/>
      <x v="296"/>
      <x/>
    </i>
    <i>
      <x v="141"/>
      <x v="296"/>
      <x/>
    </i>
    <i>
      <x v="48"/>
      <x v="296"/>
      <x v="44"/>
    </i>
    <i>
      <x v="142"/>
      <x v="296"/>
      <x/>
    </i>
    <i>
      <x v="190"/>
      <x v="296"/>
      <x v="19"/>
    </i>
    <i>
      <x v="307"/>
      <x v="296"/>
      <x/>
    </i>
    <i>
      <x v="27"/>
      <x v="296"/>
      <x v="19"/>
    </i>
    <i>
      <x v="309"/>
      <x v="296"/>
      <x/>
    </i>
    <i>
      <x v="202"/>
      <x v="296"/>
      <x/>
    </i>
    <i>
      <x v="210"/>
      <x v="296"/>
      <x/>
    </i>
    <i>
      <x v="206"/>
      <x v="296"/>
      <x/>
    </i>
    <i>
      <x v="212"/>
      <x v="296"/>
      <x/>
    </i>
    <i>
      <x v="215"/>
      <x v="296"/>
      <x/>
    </i>
    <i>
      <x v="311"/>
      <x v="296"/>
      <x/>
    </i>
    <i>
      <x v="213"/>
      <x v="296"/>
      <x/>
    </i>
    <i>
      <x v="149"/>
      <x v="296"/>
      <x/>
    </i>
    <i>
      <x v="217"/>
      <x v="296"/>
      <x/>
    </i>
    <i>
      <x v="150"/>
      <x v="296"/>
      <x/>
    </i>
    <i>
      <x v="219"/>
      <x v="296"/>
      <x/>
    </i>
    <i>
      <x v="22"/>
      <x v="296"/>
      <x/>
    </i>
    <i>
      <x v="92"/>
      <x v="296"/>
      <x/>
    </i>
    <i>
      <x v="223"/>
      <x v="296"/>
      <x/>
    </i>
    <i>
      <x v="154"/>
      <x v="296"/>
      <x v="17"/>
    </i>
    <i>
      <x v="228"/>
      <x v="296"/>
      <x v="44"/>
    </i>
    <i>
      <x v="157"/>
      <x v="296"/>
      <x/>
    </i>
    <i>
      <x v="231"/>
      <x v="296"/>
      <x/>
    </i>
    <i>
      <x v="159"/>
      <x v="296"/>
      <x/>
    </i>
    <i>
      <x v="18"/>
      <x v="296"/>
      <x v="5"/>
    </i>
    <i>
      <x v="160"/>
      <x v="296"/>
      <x/>
    </i>
    <i>
      <x v="57"/>
      <x v="296"/>
      <x/>
    </i>
    <i>
      <x v="161"/>
      <x v="296"/>
      <x v="29"/>
    </i>
    <i>
      <x v="242"/>
      <x v="296"/>
      <x/>
    </i>
    <i>
      <x v="164"/>
      <x v="296"/>
      <x v="41"/>
    </i>
    <i>
      <x v="64"/>
      <x v="296"/>
      <x/>
    </i>
    <i>
      <x v="165"/>
      <x v="296"/>
      <x/>
    </i>
    <i>
      <x v="252"/>
      <x v="296"/>
      <x/>
    </i>
    <i>
      <x v="85"/>
      <x v="296"/>
      <x/>
    </i>
    <i>
      <x v="254"/>
      <x v="296"/>
      <x/>
    </i>
    <i>
      <x v="287"/>
      <x v="296"/>
      <x/>
    </i>
    <i>
      <x v="258"/>
      <x v="296"/>
      <x/>
    </i>
    <i>
      <x v="288"/>
      <x v="296"/>
      <x/>
    </i>
    <i>
      <x v="65"/>
      <x v="296"/>
      <x v="24"/>
    </i>
    <i>
      <x v="291"/>
      <x v="296"/>
      <x/>
    </i>
    <i>
      <x v="72"/>
      <x v="296"/>
      <x/>
    </i>
    <i>
      <x v="82"/>
      <x v="296"/>
      <x v="44"/>
    </i>
    <i>
      <x v="280"/>
      <x v="296"/>
      <x/>
    </i>
    <i>
      <x v="176"/>
      <x v="296"/>
      <x/>
    </i>
    <i>
      <x v="285"/>
      <x v="296"/>
      <x v="44"/>
    </i>
    <i>
      <x v="87"/>
      <x v="296"/>
      <x v="17"/>
    </i>
    <i>
      <x v="178"/>
      <x v="296"/>
      <x/>
    </i>
    <i>
      <x v="290"/>
      <x v="296"/>
      <x/>
    </i>
    <i>
      <x v="61"/>
      <x v="296"/>
      <x/>
    </i>
    <i>
      <x v="73"/>
      <x v="296"/>
      <x v="35"/>
    </i>
    <i>
      <x v="306"/>
      <x v="296"/>
      <x/>
    </i>
    <i>
      <x v="66"/>
      <x v="296"/>
      <x v="33"/>
    </i>
    <i>
      <x v="303"/>
      <x v="296"/>
      <x/>
    </i>
    <i>
      <x v="301"/>
      <x v="296"/>
      <x/>
    </i>
    <i>
      <x v="169"/>
      <x v="296"/>
      <x v="44"/>
    </i>
    <i>
      <x v="304"/>
      <x v="296"/>
      <x/>
    </i>
    <i>
      <x v="170"/>
      <x v="296"/>
      <x/>
    </i>
    <i>
      <x v="62"/>
      <x v="296"/>
      <x v="17"/>
    </i>
    <i>
      <x v="172"/>
      <x v="296"/>
      <x v="33"/>
    </i>
    <i>
      <x v="310"/>
      <x v="296"/>
      <x/>
    </i>
    <i>
      <x v="145"/>
      <x v="296"/>
      <x/>
    </i>
    <i>
      <x/>
      <x v="296"/>
      <x/>
    </i>
    <i>
      <x v="148"/>
      <x v="296"/>
      <x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dataFields count="8">
    <dataField name="Sum of Balance" fld="6" baseField="0" baseItem="0"/>
    <dataField name="Sum of 30 Days" fld="7" baseField="0" baseItem="0"/>
    <dataField name="Sum of 31-45 Days" fld="8" baseField="0" baseItem="0"/>
    <dataField name="Sum of 46-60 Days" fld="9" baseField="0" baseItem="0"/>
    <dataField name="Sum of 61-90 Days" fld="10" baseField="0" baseItem="0"/>
    <dataField name="Sum of 91-120 Days" fld="11" baseField="0" baseItem="0"/>
    <dataField name="Sum of &gt;120 Days" fld="12" baseField="0" baseItem="0"/>
    <dataField name="Sum of &gt;60 Days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3"/>
  <sheetViews>
    <sheetView tabSelected="1" workbookViewId="0">
      <selection activeCell="B12" sqref="B12"/>
    </sheetView>
  </sheetViews>
  <sheetFormatPr defaultRowHeight="15" x14ac:dyDescent="0.25"/>
  <cols>
    <col min="1" max="1" width="11.28515625" bestFit="1" customWidth="1"/>
    <col min="2" max="2" width="38.85546875" bestFit="1" customWidth="1"/>
    <col min="3" max="3" width="11.28515625" bestFit="1" customWidth="1"/>
    <col min="4" max="4" width="14.5703125" bestFit="1" customWidth="1"/>
    <col min="5" max="5" width="14.28515625" bestFit="1" customWidth="1"/>
    <col min="6" max="8" width="17" bestFit="1" customWidth="1"/>
    <col min="9" max="9" width="18.140625" bestFit="1" customWidth="1"/>
    <col min="10" max="10" width="16.28515625" bestFit="1" customWidth="1"/>
    <col min="11" max="11" width="15.28515625" bestFit="1" customWidth="1"/>
  </cols>
  <sheetData>
    <row r="2" spans="1:11" x14ac:dyDescent="0.25">
      <c r="A2" s="14" t="s">
        <v>0</v>
      </c>
      <c r="B2" s="14" t="s">
        <v>1</v>
      </c>
      <c r="C2" s="14" t="s">
        <v>2192</v>
      </c>
    </row>
    <row r="4" spans="1:11" x14ac:dyDescent="0.25">
      <c r="D4" t="s">
        <v>2182</v>
      </c>
      <c r="E4" t="s">
        <v>2183</v>
      </c>
      <c r="F4" t="s">
        <v>2184</v>
      </c>
      <c r="G4" t="s">
        <v>2185</v>
      </c>
      <c r="H4" t="s">
        <v>2186</v>
      </c>
      <c r="I4" t="s">
        <v>2187</v>
      </c>
      <c r="J4" t="s">
        <v>2188</v>
      </c>
      <c r="K4" t="s">
        <v>2189</v>
      </c>
    </row>
    <row r="5" spans="1:11" x14ac:dyDescent="0.25">
      <c r="A5" t="s">
        <v>133</v>
      </c>
      <c r="B5" t="s">
        <v>2191</v>
      </c>
      <c r="C5">
        <v>20000000</v>
      </c>
      <c r="D5" s="13">
        <v>676435</v>
      </c>
      <c r="E5" s="13">
        <v>59822</v>
      </c>
      <c r="F5" s="13">
        <v>55119</v>
      </c>
      <c r="G5" s="13">
        <v>63179</v>
      </c>
      <c r="H5" s="13">
        <v>187579</v>
      </c>
      <c r="I5" s="13">
        <v>175922</v>
      </c>
      <c r="J5" s="13">
        <v>134814</v>
      </c>
      <c r="K5" s="13">
        <v>498315</v>
      </c>
    </row>
    <row r="6" spans="1:11" x14ac:dyDescent="0.25">
      <c r="A6" t="s">
        <v>270</v>
      </c>
      <c r="B6" t="s">
        <v>2191</v>
      </c>
      <c r="C6">
        <v>0</v>
      </c>
      <c r="D6" s="13">
        <v>471381</v>
      </c>
      <c r="E6" s="13">
        <v>53449</v>
      </c>
      <c r="F6" s="13">
        <v>114280</v>
      </c>
      <c r="G6" s="13">
        <v>28842</v>
      </c>
      <c r="H6" s="13">
        <v>174346</v>
      </c>
      <c r="I6" s="13">
        <v>100464</v>
      </c>
      <c r="J6" s="13">
        <v>0</v>
      </c>
      <c r="K6" s="13">
        <v>274810</v>
      </c>
    </row>
    <row r="7" spans="1:11" x14ac:dyDescent="0.25">
      <c r="A7" t="s">
        <v>164</v>
      </c>
      <c r="B7" t="s">
        <v>2191</v>
      </c>
      <c r="C7">
        <v>0</v>
      </c>
      <c r="D7" s="13">
        <v>587044</v>
      </c>
      <c r="E7" s="13">
        <v>127443</v>
      </c>
      <c r="F7" s="13">
        <v>211318</v>
      </c>
      <c r="G7" s="13">
        <v>51328</v>
      </c>
      <c r="H7" s="13">
        <v>187533</v>
      </c>
      <c r="I7" s="13">
        <v>9422</v>
      </c>
      <c r="J7" s="13">
        <v>0</v>
      </c>
      <c r="K7" s="13">
        <v>196955</v>
      </c>
    </row>
    <row r="8" spans="1:11" x14ac:dyDescent="0.25">
      <c r="A8" t="s">
        <v>161</v>
      </c>
      <c r="B8" t="s">
        <v>2191</v>
      </c>
      <c r="C8">
        <v>0</v>
      </c>
      <c r="D8" s="13">
        <v>276392</v>
      </c>
      <c r="E8" s="13">
        <v>22479</v>
      </c>
      <c r="F8" s="13">
        <v>64335</v>
      </c>
      <c r="G8" s="13">
        <v>32969</v>
      </c>
      <c r="H8" s="13">
        <v>97297</v>
      </c>
      <c r="I8" s="13">
        <v>53673</v>
      </c>
      <c r="J8" s="13">
        <v>5639</v>
      </c>
      <c r="K8" s="13">
        <v>156609</v>
      </c>
    </row>
    <row r="9" spans="1:11" x14ac:dyDescent="0.25">
      <c r="A9" t="s">
        <v>148</v>
      </c>
      <c r="B9" t="s">
        <v>2191</v>
      </c>
      <c r="C9">
        <v>500000</v>
      </c>
      <c r="D9" s="13">
        <v>373769.52</v>
      </c>
      <c r="E9" s="13">
        <v>33041</v>
      </c>
      <c r="F9" s="13">
        <v>149342</v>
      </c>
      <c r="G9" s="13">
        <v>53202</v>
      </c>
      <c r="H9" s="13">
        <v>113847</v>
      </c>
      <c r="I9" s="13">
        <v>24325</v>
      </c>
      <c r="J9" s="13">
        <v>12.52</v>
      </c>
      <c r="K9" s="13">
        <v>138184.52000000002</v>
      </c>
    </row>
    <row r="10" spans="1:11" x14ac:dyDescent="0.25">
      <c r="A10" t="s">
        <v>140</v>
      </c>
      <c r="B10" t="s">
        <v>2191</v>
      </c>
      <c r="C10">
        <v>0</v>
      </c>
      <c r="D10" s="13">
        <v>247122</v>
      </c>
      <c r="E10" s="13">
        <v>52220</v>
      </c>
      <c r="F10" s="13">
        <v>77590</v>
      </c>
      <c r="G10" s="13">
        <v>24502</v>
      </c>
      <c r="H10" s="13">
        <v>82865</v>
      </c>
      <c r="I10" s="13">
        <v>9945</v>
      </c>
      <c r="J10" s="13">
        <v>0</v>
      </c>
      <c r="K10" s="13">
        <v>92810</v>
      </c>
    </row>
    <row r="11" spans="1:11" x14ac:dyDescent="0.25">
      <c r="A11" t="s">
        <v>30</v>
      </c>
      <c r="B11" t="s">
        <v>2191</v>
      </c>
      <c r="C11">
        <v>700000</v>
      </c>
      <c r="D11" s="13">
        <v>139016</v>
      </c>
      <c r="E11" s="13">
        <v>16100</v>
      </c>
      <c r="F11" s="13">
        <v>39214</v>
      </c>
      <c r="G11" s="13">
        <v>16040</v>
      </c>
      <c r="H11" s="13">
        <v>49134</v>
      </c>
      <c r="I11" s="13">
        <v>16228</v>
      </c>
      <c r="J11" s="13">
        <v>2300</v>
      </c>
      <c r="K11" s="13">
        <v>67662</v>
      </c>
    </row>
    <row r="12" spans="1:11" x14ac:dyDescent="0.25">
      <c r="A12" t="s">
        <v>17</v>
      </c>
      <c r="B12" t="s">
        <v>2191</v>
      </c>
      <c r="C12">
        <v>500000</v>
      </c>
      <c r="D12" s="13">
        <v>241432</v>
      </c>
      <c r="E12" s="13">
        <v>71072</v>
      </c>
      <c r="F12" s="13">
        <v>99021</v>
      </c>
      <c r="G12" s="13">
        <v>17159</v>
      </c>
      <c r="H12" s="13">
        <v>54180</v>
      </c>
      <c r="I12" s="13">
        <v>0</v>
      </c>
      <c r="J12" s="13">
        <v>0</v>
      </c>
      <c r="K12" s="13">
        <v>54180</v>
      </c>
    </row>
    <row r="13" spans="1:11" x14ac:dyDescent="0.25">
      <c r="A13" t="s">
        <v>154</v>
      </c>
      <c r="B13" t="s">
        <v>2191</v>
      </c>
      <c r="C13">
        <v>0</v>
      </c>
      <c r="D13" s="13">
        <v>69883</v>
      </c>
      <c r="E13" s="13">
        <v>0</v>
      </c>
      <c r="F13" s="13">
        <v>22816</v>
      </c>
      <c r="G13" s="13">
        <v>0</v>
      </c>
      <c r="H13" s="13">
        <v>30075</v>
      </c>
      <c r="I13" s="13">
        <v>16992</v>
      </c>
      <c r="J13" s="13">
        <v>0</v>
      </c>
      <c r="K13" s="13">
        <v>47067</v>
      </c>
    </row>
    <row r="14" spans="1:11" x14ac:dyDescent="0.25">
      <c r="A14" t="s">
        <v>26</v>
      </c>
      <c r="B14" t="s">
        <v>2191</v>
      </c>
      <c r="C14">
        <v>100000</v>
      </c>
      <c r="D14" s="13">
        <v>101655</v>
      </c>
      <c r="E14" s="13">
        <v>17861</v>
      </c>
      <c r="F14" s="13">
        <v>35438</v>
      </c>
      <c r="G14" s="13">
        <v>5884</v>
      </c>
      <c r="H14" s="13">
        <v>29865</v>
      </c>
      <c r="I14" s="13">
        <v>12607</v>
      </c>
      <c r="J14" s="13">
        <v>0</v>
      </c>
      <c r="K14" s="13">
        <v>42472</v>
      </c>
    </row>
    <row r="15" spans="1:11" x14ac:dyDescent="0.25">
      <c r="A15" t="s">
        <v>20</v>
      </c>
      <c r="B15" t="s">
        <v>2191</v>
      </c>
      <c r="C15">
        <v>1000000</v>
      </c>
      <c r="D15" s="13">
        <v>129550</v>
      </c>
      <c r="E15" s="13">
        <v>16648</v>
      </c>
      <c r="F15" s="13">
        <v>30711</v>
      </c>
      <c r="G15" s="13">
        <v>42397</v>
      </c>
      <c r="H15" s="13">
        <v>39794</v>
      </c>
      <c r="I15" s="13">
        <v>0</v>
      </c>
      <c r="J15" s="13">
        <v>0</v>
      </c>
      <c r="K15" s="13">
        <v>39794</v>
      </c>
    </row>
    <row r="16" spans="1:11" x14ac:dyDescent="0.25">
      <c r="A16" t="s">
        <v>158</v>
      </c>
      <c r="B16" t="s">
        <v>2191</v>
      </c>
      <c r="C16">
        <v>0</v>
      </c>
      <c r="D16" s="13">
        <v>89762</v>
      </c>
      <c r="E16" s="13">
        <v>23722</v>
      </c>
      <c r="F16" s="13">
        <v>19801</v>
      </c>
      <c r="G16" s="13">
        <v>7585</v>
      </c>
      <c r="H16" s="13">
        <v>22580</v>
      </c>
      <c r="I16" s="13">
        <v>0</v>
      </c>
      <c r="J16" s="13">
        <v>16074</v>
      </c>
      <c r="K16" s="13">
        <v>38654</v>
      </c>
    </row>
    <row r="17" spans="1:11" x14ac:dyDescent="0.25">
      <c r="A17" t="s">
        <v>42</v>
      </c>
      <c r="B17" t="s">
        <v>2191</v>
      </c>
      <c r="C17">
        <v>1480000</v>
      </c>
      <c r="D17" s="13">
        <v>57395</v>
      </c>
      <c r="E17" s="13">
        <v>14554</v>
      </c>
      <c r="F17" s="13">
        <v>8204</v>
      </c>
      <c r="G17" s="13">
        <v>8357</v>
      </c>
      <c r="H17" s="13">
        <v>13625</v>
      </c>
      <c r="I17" s="13">
        <v>9453</v>
      </c>
      <c r="J17" s="13">
        <v>3202</v>
      </c>
      <c r="K17" s="13">
        <v>26280</v>
      </c>
    </row>
    <row r="18" spans="1:11" x14ac:dyDescent="0.25">
      <c r="A18" t="s">
        <v>666</v>
      </c>
      <c r="B18" t="s">
        <v>2191</v>
      </c>
      <c r="C18">
        <v>3377500</v>
      </c>
      <c r="D18" s="13">
        <v>313835</v>
      </c>
      <c r="E18" s="13">
        <v>170677</v>
      </c>
      <c r="F18" s="13">
        <v>90076</v>
      </c>
      <c r="G18" s="13">
        <v>28121</v>
      </c>
      <c r="H18" s="13">
        <v>24961</v>
      </c>
      <c r="I18" s="13">
        <v>0</v>
      </c>
      <c r="J18" s="13">
        <v>0</v>
      </c>
      <c r="K18" s="13">
        <v>24961</v>
      </c>
    </row>
    <row r="19" spans="1:11" x14ac:dyDescent="0.25">
      <c r="A19" t="s">
        <v>41</v>
      </c>
      <c r="B19" t="s">
        <v>2191</v>
      </c>
      <c r="C19">
        <v>500000</v>
      </c>
      <c r="D19" s="13">
        <v>28576</v>
      </c>
      <c r="E19" s="13">
        <v>0</v>
      </c>
      <c r="F19" s="13">
        <v>0</v>
      </c>
      <c r="G19" s="13">
        <v>7943</v>
      </c>
      <c r="H19" s="13">
        <v>20633</v>
      </c>
      <c r="I19" s="13">
        <v>0</v>
      </c>
      <c r="J19" s="13">
        <v>0</v>
      </c>
      <c r="K19" s="13">
        <v>20633</v>
      </c>
    </row>
    <row r="20" spans="1:11" x14ac:dyDescent="0.25">
      <c r="A20" t="s">
        <v>466</v>
      </c>
      <c r="B20" t="s">
        <v>2191</v>
      </c>
      <c r="C20">
        <v>200000</v>
      </c>
      <c r="D20" s="13">
        <v>46897</v>
      </c>
      <c r="E20" s="13">
        <v>20348</v>
      </c>
      <c r="F20" s="13">
        <v>0</v>
      </c>
      <c r="G20" s="13">
        <v>8667</v>
      </c>
      <c r="H20" s="13">
        <v>17882</v>
      </c>
      <c r="I20" s="13">
        <v>0</v>
      </c>
      <c r="J20" s="13">
        <v>0</v>
      </c>
      <c r="K20" s="13">
        <v>17882</v>
      </c>
    </row>
    <row r="21" spans="1:11" x14ac:dyDescent="0.25">
      <c r="A21" t="s">
        <v>145</v>
      </c>
      <c r="B21" t="s">
        <v>2191</v>
      </c>
      <c r="C21">
        <v>2100000</v>
      </c>
      <c r="D21" s="13">
        <v>40793</v>
      </c>
      <c r="E21" s="13">
        <v>0</v>
      </c>
      <c r="F21" s="13">
        <v>14848</v>
      </c>
      <c r="G21" s="13">
        <v>9044</v>
      </c>
      <c r="H21" s="13">
        <v>9253</v>
      </c>
      <c r="I21" s="13">
        <v>0</v>
      </c>
      <c r="J21" s="13">
        <v>7648</v>
      </c>
      <c r="K21" s="13">
        <v>16901</v>
      </c>
    </row>
    <row r="22" spans="1:11" x14ac:dyDescent="0.25">
      <c r="A22" t="s">
        <v>162</v>
      </c>
      <c r="B22" t="s">
        <v>2191</v>
      </c>
      <c r="C22">
        <v>300000</v>
      </c>
      <c r="D22" s="13">
        <v>34077</v>
      </c>
      <c r="E22" s="13">
        <v>4143</v>
      </c>
      <c r="F22" s="13">
        <v>13135</v>
      </c>
      <c r="G22" s="13">
        <v>0</v>
      </c>
      <c r="H22" s="13">
        <v>16799</v>
      </c>
      <c r="I22" s="13">
        <v>0</v>
      </c>
      <c r="J22" s="13">
        <v>0</v>
      </c>
      <c r="K22" s="13">
        <v>16799</v>
      </c>
    </row>
    <row r="23" spans="1:11" x14ac:dyDescent="0.25">
      <c r="A23" t="s">
        <v>241</v>
      </c>
      <c r="B23" t="s">
        <v>2191</v>
      </c>
      <c r="C23">
        <v>75000</v>
      </c>
      <c r="D23" s="13">
        <v>56716</v>
      </c>
      <c r="E23" s="13">
        <v>14244</v>
      </c>
      <c r="F23" s="13">
        <v>16775</v>
      </c>
      <c r="G23" s="13">
        <v>9468</v>
      </c>
      <c r="H23" s="13">
        <v>8892</v>
      </c>
      <c r="I23" s="13">
        <v>7337</v>
      </c>
      <c r="J23" s="13">
        <v>0</v>
      </c>
      <c r="K23" s="13">
        <v>16229</v>
      </c>
    </row>
    <row r="24" spans="1:11" x14ac:dyDescent="0.25">
      <c r="A24" t="s">
        <v>778</v>
      </c>
      <c r="B24" t="s">
        <v>2191</v>
      </c>
      <c r="C24">
        <v>200000</v>
      </c>
      <c r="D24" s="13">
        <v>54352</v>
      </c>
      <c r="E24" s="13">
        <v>22671</v>
      </c>
      <c r="F24" s="13">
        <v>10878</v>
      </c>
      <c r="G24" s="13">
        <v>5257</v>
      </c>
      <c r="H24" s="13">
        <v>15546</v>
      </c>
      <c r="I24" s="13">
        <v>0</v>
      </c>
      <c r="J24" s="13">
        <v>0</v>
      </c>
      <c r="K24" s="13">
        <v>15546</v>
      </c>
    </row>
    <row r="25" spans="1:11" x14ac:dyDescent="0.25">
      <c r="A25" t="s">
        <v>44</v>
      </c>
      <c r="B25" t="s">
        <v>2191</v>
      </c>
      <c r="C25">
        <v>1000000</v>
      </c>
      <c r="D25" s="13">
        <v>28004</v>
      </c>
      <c r="E25" s="13">
        <v>0</v>
      </c>
      <c r="F25" s="13">
        <v>13442</v>
      </c>
      <c r="G25" s="13">
        <v>0</v>
      </c>
      <c r="H25" s="13">
        <v>14562</v>
      </c>
      <c r="I25" s="13">
        <v>0</v>
      </c>
      <c r="J25" s="13">
        <v>0</v>
      </c>
      <c r="K25" s="13">
        <v>14562</v>
      </c>
    </row>
    <row r="26" spans="1:11" x14ac:dyDescent="0.25">
      <c r="A26" t="s">
        <v>21</v>
      </c>
      <c r="B26" t="s">
        <v>2191</v>
      </c>
      <c r="C26">
        <v>0</v>
      </c>
      <c r="D26" s="13">
        <v>13478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13478</v>
      </c>
      <c r="K26" s="13">
        <v>13478</v>
      </c>
    </row>
    <row r="27" spans="1:11" x14ac:dyDescent="0.25">
      <c r="A27" t="s">
        <v>426</v>
      </c>
      <c r="B27" t="s">
        <v>2191</v>
      </c>
      <c r="C27">
        <v>0</v>
      </c>
      <c r="D27" s="13">
        <v>9735</v>
      </c>
      <c r="E27" s="13">
        <v>0</v>
      </c>
      <c r="F27" s="13">
        <v>0</v>
      </c>
      <c r="G27" s="13">
        <v>0</v>
      </c>
      <c r="H27" s="13">
        <v>9735</v>
      </c>
      <c r="I27" s="13">
        <v>0</v>
      </c>
      <c r="J27" s="13">
        <v>0</v>
      </c>
      <c r="K27" s="13">
        <v>9735</v>
      </c>
    </row>
    <row r="28" spans="1:11" x14ac:dyDescent="0.25">
      <c r="A28" t="s">
        <v>15</v>
      </c>
      <c r="B28" t="s">
        <v>2191</v>
      </c>
      <c r="C28">
        <v>5000000</v>
      </c>
      <c r="D28" s="13">
        <v>59295</v>
      </c>
      <c r="E28" s="13">
        <v>26155</v>
      </c>
      <c r="F28" s="13">
        <v>23609</v>
      </c>
      <c r="G28" s="13">
        <v>0</v>
      </c>
      <c r="H28" s="13">
        <v>9531</v>
      </c>
      <c r="I28" s="13">
        <v>0</v>
      </c>
      <c r="J28" s="13">
        <v>0</v>
      </c>
      <c r="K28" s="13">
        <v>9531</v>
      </c>
    </row>
    <row r="29" spans="1:11" x14ac:dyDescent="0.25">
      <c r="A29" t="s">
        <v>566</v>
      </c>
      <c r="B29" t="s">
        <v>2191</v>
      </c>
      <c r="C29">
        <v>500000</v>
      </c>
      <c r="D29" s="13">
        <v>9482</v>
      </c>
      <c r="E29" s="13">
        <v>0</v>
      </c>
      <c r="F29" s="13">
        <v>0</v>
      </c>
      <c r="G29" s="13">
        <v>0</v>
      </c>
      <c r="H29" s="13">
        <v>9482</v>
      </c>
      <c r="I29" s="13">
        <v>0</v>
      </c>
      <c r="J29" s="13">
        <v>0</v>
      </c>
      <c r="K29" s="13">
        <v>9482</v>
      </c>
    </row>
    <row r="30" spans="1:11" x14ac:dyDescent="0.25">
      <c r="A30" t="s">
        <v>184</v>
      </c>
      <c r="B30" t="s">
        <v>2191</v>
      </c>
      <c r="C30">
        <v>442000</v>
      </c>
      <c r="D30" s="13">
        <v>19310</v>
      </c>
      <c r="E30" s="13">
        <v>0</v>
      </c>
      <c r="F30" s="13">
        <v>0</v>
      </c>
      <c r="G30" s="13">
        <v>10110</v>
      </c>
      <c r="H30" s="13">
        <v>9200</v>
      </c>
      <c r="I30" s="13">
        <v>0</v>
      </c>
      <c r="J30" s="13">
        <v>0</v>
      </c>
      <c r="K30" s="13">
        <v>9200</v>
      </c>
    </row>
    <row r="31" spans="1:11" x14ac:dyDescent="0.25">
      <c r="A31" t="s">
        <v>492</v>
      </c>
      <c r="B31" t="s">
        <v>2191</v>
      </c>
      <c r="C31">
        <v>500000</v>
      </c>
      <c r="D31" s="13">
        <v>17926</v>
      </c>
      <c r="E31" s="13">
        <v>8866</v>
      </c>
      <c r="F31" s="13">
        <v>0</v>
      </c>
      <c r="G31" s="13">
        <v>0</v>
      </c>
      <c r="H31" s="13">
        <v>9060</v>
      </c>
      <c r="I31" s="13">
        <v>0</v>
      </c>
      <c r="J31" s="13">
        <v>0</v>
      </c>
      <c r="K31" s="13">
        <v>9060</v>
      </c>
    </row>
    <row r="32" spans="1:11" x14ac:dyDescent="0.25">
      <c r="A32" t="s">
        <v>279</v>
      </c>
      <c r="B32" t="s">
        <v>2191</v>
      </c>
      <c r="C32">
        <v>0</v>
      </c>
      <c r="D32" s="13">
        <v>8588</v>
      </c>
      <c r="E32" s="13">
        <v>0</v>
      </c>
      <c r="F32" s="13">
        <v>0</v>
      </c>
      <c r="G32" s="13">
        <v>0</v>
      </c>
      <c r="H32" s="13">
        <v>8588</v>
      </c>
      <c r="I32" s="13">
        <v>0</v>
      </c>
      <c r="J32" s="13">
        <v>0</v>
      </c>
      <c r="K32" s="13">
        <v>8588</v>
      </c>
    </row>
    <row r="33" spans="1:11" x14ac:dyDescent="0.25">
      <c r="A33" t="s">
        <v>157</v>
      </c>
      <c r="B33" t="s">
        <v>2191</v>
      </c>
      <c r="C33">
        <v>200000</v>
      </c>
      <c r="D33" s="13">
        <v>18042</v>
      </c>
      <c r="E33" s="13">
        <v>0</v>
      </c>
      <c r="F33" s="13">
        <v>9540</v>
      </c>
      <c r="G33" s="13">
        <v>0</v>
      </c>
      <c r="H33" s="13">
        <v>0</v>
      </c>
      <c r="I33" s="13">
        <v>8502</v>
      </c>
      <c r="J33" s="13">
        <v>0</v>
      </c>
      <c r="K33" s="13">
        <v>8502</v>
      </c>
    </row>
    <row r="34" spans="1:11" x14ac:dyDescent="0.25">
      <c r="A34" t="s">
        <v>354</v>
      </c>
      <c r="B34" t="s">
        <v>2191</v>
      </c>
      <c r="C34">
        <v>0</v>
      </c>
      <c r="D34" s="13">
        <v>8220</v>
      </c>
      <c r="E34" s="13">
        <v>0</v>
      </c>
      <c r="F34" s="13">
        <v>0</v>
      </c>
      <c r="G34" s="13">
        <v>0</v>
      </c>
      <c r="H34" s="13">
        <v>0</v>
      </c>
      <c r="I34" s="13">
        <v>8220</v>
      </c>
      <c r="J34" s="13">
        <v>0</v>
      </c>
      <c r="K34" s="13">
        <v>8220</v>
      </c>
    </row>
    <row r="35" spans="1:11" x14ac:dyDescent="0.25">
      <c r="A35" t="s">
        <v>32</v>
      </c>
      <c r="B35" t="s">
        <v>2191</v>
      </c>
      <c r="C35">
        <v>25000000</v>
      </c>
      <c r="D35" s="13">
        <v>39380</v>
      </c>
      <c r="E35" s="13">
        <v>7947</v>
      </c>
      <c r="F35" s="13">
        <v>7975</v>
      </c>
      <c r="G35" s="13">
        <v>15317</v>
      </c>
      <c r="H35" s="13">
        <v>8141</v>
      </c>
      <c r="I35" s="13">
        <v>0</v>
      </c>
      <c r="J35" s="13">
        <v>0</v>
      </c>
      <c r="K35" s="13">
        <v>8141</v>
      </c>
    </row>
    <row r="36" spans="1:11" x14ac:dyDescent="0.25">
      <c r="A36" t="s">
        <v>36</v>
      </c>
      <c r="B36" t="s">
        <v>2191</v>
      </c>
      <c r="C36">
        <v>125000</v>
      </c>
      <c r="D36" s="13">
        <v>60726</v>
      </c>
      <c r="E36" s="13">
        <v>7497</v>
      </c>
      <c r="F36" s="13">
        <v>45098</v>
      </c>
      <c r="G36" s="13">
        <v>0</v>
      </c>
      <c r="H36" s="13">
        <v>8131</v>
      </c>
      <c r="I36" s="13">
        <v>0</v>
      </c>
      <c r="J36" s="13">
        <v>0</v>
      </c>
      <c r="K36" s="13">
        <v>8131</v>
      </c>
    </row>
    <row r="37" spans="1:11" x14ac:dyDescent="0.25">
      <c r="A37" t="s">
        <v>255</v>
      </c>
      <c r="B37" t="s">
        <v>2191</v>
      </c>
      <c r="C37">
        <v>0</v>
      </c>
      <c r="D37" s="13">
        <v>7929</v>
      </c>
      <c r="E37" s="13">
        <v>0</v>
      </c>
      <c r="F37" s="13">
        <v>0</v>
      </c>
      <c r="G37" s="13">
        <v>0</v>
      </c>
      <c r="H37" s="13">
        <v>0</v>
      </c>
      <c r="I37" s="13">
        <v>7929</v>
      </c>
      <c r="J37" s="13">
        <v>0</v>
      </c>
      <c r="K37" s="13">
        <v>7929</v>
      </c>
    </row>
    <row r="38" spans="1:11" x14ac:dyDescent="0.25">
      <c r="A38" t="s">
        <v>152</v>
      </c>
      <c r="B38" t="s">
        <v>2191</v>
      </c>
      <c r="C38">
        <v>300000</v>
      </c>
      <c r="D38" s="13">
        <v>42056</v>
      </c>
      <c r="E38" s="13">
        <v>15974</v>
      </c>
      <c r="F38" s="13">
        <v>14012</v>
      </c>
      <c r="G38" s="13">
        <v>4481</v>
      </c>
      <c r="H38" s="13">
        <v>7589</v>
      </c>
      <c r="I38" s="13">
        <v>0</v>
      </c>
      <c r="J38" s="13">
        <v>0</v>
      </c>
      <c r="K38" s="13">
        <v>7589</v>
      </c>
    </row>
    <row r="39" spans="1:11" x14ac:dyDescent="0.25">
      <c r="A39" t="s">
        <v>743</v>
      </c>
      <c r="B39" t="s">
        <v>2191</v>
      </c>
      <c r="C39">
        <v>0</v>
      </c>
      <c r="D39" s="13">
        <v>7144</v>
      </c>
      <c r="E39" s="13">
        <v>0</v>
      </c>
      <c r="F39" s="13">
        <v>0</v>
      </c>
      <c r="G39" s="13">
        <v>0</v>
      </c>
      <c r="H39" s="13">
        <v>7144</v>
      </c>
      <c r="I39" s="13">
        <v>0</v>
      </c>
      <c r="J39" s="13">
        <v>0</v>
      </c>
      <c r="K39" s="13">
        <v>7144</v>
      </c>
    </row>
    <row r="40" spans="1:11" x14ac:dyDescent="0.25">
      <c r="A40" t="s">
        <v>480</v>
      </c>
      <c r="B40" t="s">
        <v>2191</v>
      </c>
      <c r="C40">
        <v>0</v>
      </c>
      <c r="D40" s="13">
        <v>7108</v>
      </c>
      <c r="E40" s="13">
        <v>0</v>
      </c>
      <c r="F40" s="13">
        <v>0</v>
      </c>
      <c r="G40" s="13">
        <v>0</v>
      </c>
      <c r="H40" s="13">
        <v>7108</v>
      </c>
      <c r="I40" s="13">
        <v>0</v>
      </c>
      <c r="J40" s="13">
        <v>0</v>
      </c>
      <c r="K40" s="13">
        <v>7108</v>
      </c>
    </row>
    <row r="41" spans="1:11" x14ac:dyDescent="0.25">
      <c r="A41" t="s">
        <v>307</v>
      </c>
      <c r="B41" t="s">
        <v>2191</v>
      </c>
      <c r="C41">
        <v>0</v>
      </c>
      <c r="D41" s="13">
        <v>7061</v>
      </c>
      <c r="E41" s="13">
        <v>0</v>
      </c>
      <c r="F41" s="13">
        <v>0</v>
      </c>
      <c r="G41" s="13">
        <v>0</v>
      </c>
      <c r="H41" s="13">
        <v>0</v>
      </c>
      <c r="I41" s="13">
        <v>7061</v>
      </c>
      <c r="J41" s="13">
        <v>0</v>
      </c>
      <c r="K41" s="13">
        <v>7061</v>
      </c>
    </row>
    <row r="42" spans="1:11" x14ac:dyDescent="0.25">
      <c r="A42" t="s">
        <v>302</v>
      </c>
      <c r="B42" t="s">
        <v>2191</v>
      </c>
      <c r="C42">
        <v>0</v>
      </c>
      <c r="D42" s="13">
        <v>7061</v>
      </c>
      <c r="E42" s="13">
        <v>0</v>
      </c>
      <c r="F42" s="13">
        <v>0</v>
      </c>
      <c r="G42" s="13">
        <v>0</v>
      </c>
      <c r="H42" s="13">
        <v>0</v>
      </c>
      <c r="I42" s="13">
        <v>7061</v>
      </c>
      <c r="J42" s="13">
        <v>0</v>
      </c>
      <c r="K42" s="13">
        <v>7061</v>
      </c>
    </row>
    <row r="43" spans="1:11" x14ac:dyDescent="0.25">
      <c r="A43" t="s">
        <v>171</v>
      </c>
      <c r="B43" t="s">
        <v>2191</v>
      </c>
      <c r="C43">
        <v>0</v>
      </c>
      <c r="D43" s="13">
        <v>28244</v>
      </c>
      <c r="E43" s="13">
        <v>7061</v>
      </c>
      <c r="F43" s="13">
        <v>14122</v>
      </c>
      <c r="G43" s="13">
        <v>0</v>
      </c>
      <c r="H43" s="13">
        <v>0</v>
      </c>
      <c r="I43" s="13">
        <v>0</v>
      </c>
      <c r="J43" s="13">
        <v>7061</v>
      </c>
      <c r="K43" s="13">
        <v>7061</v>
      </c>
    </row>
    <row r="44" spans="1:11" x14ac:dyDescent="0.25">
      <c r="A44" t="s">
        <v>608</v>
      </c>
      <c r="B44" t="s">
        <v>2191</v>
      </c>
      <c r="C44">
        <v>0</v>
      </c>
      <c r="D44" s="13">
        <v>7061</v>
      </c>
      <c r="E44" s="13">
        <v>0</v>
      </c>
      <c r="F44" s="13">
        <v>0</v>
      </c>
      <c r="G44" s="13">
        <v>0</v>
      </c>
      <c r="H44" s="13">
        <v>7061</v>
      </c>
      <c r="I44" s="13">
        <v>0</v>
      </c>
      <c r="J44" s="13">
        <v>0</v>
      </c>
      <c r="K44" s="13">
        <v>7061</v>
      </c>
    </row>
    <row r="45" spans="1:11" x14ac:dyDescent="0.25">
      <c r="A45" t="s">
        <v>43</v>
      </c>
      <c r="B45" t="s">
        <v>2191</v>
      </c>
      <c r="C45">
        <v>50000</v>
      </c>
      <c r="D45" s="13">
        <v>14386</v>
      </c>
      <c r="E45" s="13">
        <v>0</v>
      </c>
      <c r="F45" s="13">
        <v>8002</v>
      </c>
      <c r="G45" s="13">
        <v>0</v>
      </c>
      <c r="H45" s="13">
        <v>6384</v>
      </c>
      <c r="I45" s="13">
        <v>0</v>
      </c>
      <c r="J45" s="13">
        <v>0</v>
      </c>
      <c r="K45" s="13">
        <v>6384</v>
      </c>
    </row>
    <row r="46" spans="1:11" x14ac:dyDescent="0.25">
      <c r="A46" t="s">
        <v>29</v>
      </c>
      <c r="B46" t="s">
        <v>2191</v>
      </c>
      <c r="C46">
        <v>1000000</v>
      </c>
      <c r="D46" s="13">
        <v>6216</v>
      </c>
      <c r="E46" s="13">
        <v>0</v>
      </c>
      <c r="F46" s="13">
        <v>0</v>
      </c>
      <c r="G46" s="13">
        <v>0</v>
      </c>
      <c r="H46" s="13">
        <v>0</v>
      </c>
      <c r="I46" s="13">
        <v>6216</v>
      </c>
      <c r="J46" s="13">
        <v>0</v>
      </c>
      <c r="K46" s="13">
        <v>6216</v>
      </c>
    </row>
    <row r="47" spans="1:11" x14ac:dyDescent="0.25">
      <c r="A47" t="s">
        <v>16</v>
      </c>
      <c r="B47" t="s">
        <v>2191</v>
      </c>
      <c r="C47">
        <v>600000</v>
      </c>
      <c r="D47" s="13">
        <v>22064</v>
      </c>
      <c r="E47" s="13">
        <v>2926</v>
      </c>
      <c r="F47" s="13">
        <v>10159</v>
      </c>
      <c r="G47" s="13">
        <v>2938</v>
      </c>
      <c r="H47" s="13">
        <v>1438</v>
      </c>
      <c r="I47" s="13">
        <v>1477</v>
      </c>
      <c r="J47" s="13">
        <v>3126</v>
      </c>
      <c r="K47" s="13">
        <v>6041</v>
      </c>
    </row>
    <row r="48" spans="1:11" x14ac:dyDescent="0.25">
      <c r="A48" t="s">
        <v>123</v>
      </c>
      <c r="B48" t="s">
        <v>2191</v>
      </c>
      <c r="C48">
        <v>2700000</v>
      </c>
      <c r="D48" s="13">
        <v>5957</v>
      </c>
      <c r="E48" s="13">
        <v>0</v>
      </c>
      <c r="F48" s="13">
        <v>0</v>
      </c>
      <c r="G48" s="13">
        <v>0</v>
      </c>
      <c r="H48" s="13">
        <v>3007</v>
      </c>
      <c r="I48" s="13">
        <v>2950</v>
      </c>
      <c r="J48" s="13">
        <v>0</v>
      </c>
      <c r="K48" s="13">
        <v>5957</v>
      </c>
    </row>
    <row r="49" spans="1:11" x14ac:dyDescent="0.25">
      <c r="A49" t="s">
        <v>232</v>
      </c>
      <c r="B49" t="s">
        <v>2191</v>
      </c>
      <c r="C49">
        <v>1500000</v>
      </c>
      <c r="D49" s="13">
        <v>17529</v>
      </c>
      <c r="E49" s="13">
        <v>3505</v>
      </c>
      <c r="F49" s="13">
        <v>8087</v>
      </c>
      <c r="G49" s="13">
        <v>0</v>
      </c>
      <c r="H49" s="13">
        <v>3818</v>
      </c>
      <c r="I49" s="13">
        <v>2119</v>
      </c>
      <c r="J49" s="13">
        <v>0</v>
      </c>
      <c r="K49" s="13">
        <v>5937</v>
      </c>
    </row>
    <row r="50" spans="1:11" x14ac:dyDescent="0.25">
      <c r="A50" t="s">
        <v>38</v>
      </c>
      <c r="B50" t="s">
        <v>2191</v>
      </c>
      <c r="C50">
        <v>700000</v>
      </c>
      <c r="D50" s="13">
        <v>85841</v>
      </c>
      <c r="E50" s="13">
        <v>24539</v>
      </c>
      <c r="F50" s="13">
        <v>14003</v>
      </c>
      <c r="G50" s="13">
        <v>41582</v>
      </c>
      <c r="H50" s="13">
        <v>5717</v>
      </c>
      <c r="I50" s="13">
        <v>0</v>
      </c>
      <c r="J50" s="13">
        <v>0</v>
      </c>
      <c r="K50" s="13">
        <v>5717</v>
      </c>
    </row>
    <row r="51" spans="1:11" x14ac:dyDescent="0.25">
      <c r="A51" t="s">
        <v>40</v>
      </c>
      <c r="B51" t="s">
        <v>2191</v>
      </c>
      <c r="C51">
        <v>950000</v>
      </c>
      <c r="D51" s="13">
        <v>6261</v>
      </c>
      <c r="E51" s="13">
        <v>0</v>
      </c>
      <c r="F51" s="13">
        <v>0</v>
      </c>
      <c r="G51" s="13">
        <v>1484</v>
      </c>
      <c r="H51" s="13">
        <v>1484</v>
      </c>
      <c r="I51" s="13">
        <v>1484</v>
      </c>
      <c r="J51" s="13">
        <v>1809</v>
      </c>
      <c r="K51" s="13">
        <v>4777</v>
      </c>
    </row>
    <row r="52" spans="1:11" x14ac:dyDescent="0.25">
      <c r="A52" t="s">
        <v>418</v>
      </c>
      <c r="B52" t="s">
        <v>2191</v>
      </c>
      <c r="C52">
        <v>500000</v>
      </c>
      <c r="D52" s="13">
        <v>4230</v>
      </c>
      <c r="E52" s="13">
        <v>0</v>
      </c>
      <c r="F52" s="13">
        <v>0</v>
      </c>
      <c r="G52" s="13">
        <v>0</v>
      </c>
      <c r="H52" s="13">
        <v>4230</v>
      </c>
      <c r="I52" s="13">
        <v>0</v>
      </c>
      <c r="J52" s="13">
        <v>0</v>
      </c>
      <c r="K52" s="13">
        <v>4230</v>
      </c>
    </row>
    <row r="53" spans="1:11" x14ac:dyDescent="0.25">
      <c r="A53" t="s">
        <v>336</v>
      </c>
      <c r="B53" t="s">
        <v>2191</v>
      </c>
      <c r="C53">
        <v>0</v>
      </c>
      <c r="D53" s="13">
        <v>4054</v>
      </c>
      <c r="E53" s="13">
        <v>0</v>
      </c>
      <c r="F53" s="13">
        <v>0</v>
      </c>
      <c r="G53" s="13">
        <v>0</v>
      </c>
      <c r="H53" s="13">
        <v>0</v>
      </c>
      <c r="I53" s="13">
        <v>4054</v>
      </c>
      <c r="J53" s="13">
        <v>0</v>
      </c>
      <c r="K53" s="13">
        <v>4054</v>
      </c>
    </row>
    <row r="54" spans="1:11" x14ac:dyDescent="0.25">
      <c r="A54" t="s">
        <v>806</v>
      </c>
      <c r="B54" t="s">
        <v>2191</v>
      </c>
      <c r="C54">
        <v>700000</v>
      </c>
      <c r="D54" s="13">
        <v>21345</v>
      </c>
      <c r="E54" s="13">
        <v>18470</v>
      </c>
      <c r="F54" s="13">
        <v>0</v>
      </c>
      <c r="G54" s="13">
        <v>0</v>
      </c>
      <c r="H54" s="13">
        <v>2875</v>
      </c>
      <c r="I54" s="13">
        <v>0</v>
      </c>
      <c r="J54" s="13">
        <v>0</v>
      </c>
      <c r="K54" s="13">
        <v>2875</v>
      </c>
    </row>
    <row r="55" spans="1:11" x14ac:dyDescent="0.25">
      <c r="A55" t="s">
        <v>469</v>
      </c>
      <c r="B55" t="s">
        <v>2191</v>
      </c>
      <c r="C55">
        <v>0</v>
      </c>
      <c r="D55" s="13">
        <v>2855</v>
      </c>
      <c r="E55" s="13">
        <v>0</v>
      </c>
      <c r="F55" s="13">
        <v>0</v>
      </c>
      <c r="G55" s="13">
        <v>0</v>
      </c>
      <c r="H55" s="13">
        <v>2855</v>
      </c>
      <c r="I55" s="13">
        <v>0</v>
      </c>
      <c r="J55" s="13">
        <v>0</v>
      </c>
      <c r="K55" s="13">
        <v>2855</v>
      </c>
    </row>
    <row r="56" spans="1:11" x14ac:dyDescent="0.25">
      <c r="A56" t="s">
        <v>53</v>
      </c>
      <c r="B56" t="s">
        <v>2191</v>
      </c>
      <c r="C56">
        <v>100000</v>
      </c>
      <c r="D56" s="13">
        <v>2415</v>
      </c>
      <c r="E56" s="13">
        <v>0</v>
      </c>
      <c r="F56" s="13">
        <v>0</v>
      </c>
      <c r="G56" s="13">
        <v>0</v>
      </c>
      <c r="H56" s="13">
        <v>0</v>
      </c>
      <c r="I56" s="13">
        <v>2415</v>
      </c>
      <c r="J56" s="13">
        <v>0</v>
      </c>
      <c r="K56" s="13">
        <v>2415</v>
      </c>
    </row>
    <row r="57" spans="1:11" x14ac:dyDescent="0.25">
      <c r="A57" t="s">
        <v>252</v>
      </c>
      <c r="B57" t="s">
        <v>2191</v>
      </c>
      <c r="C57">
        <v>20000</v>
      </c>
      <c r="D57" s="13">
        <v>37901</v>
      </c>
      <c r="E57" s="13">
        <v>12985</v>
      </c>
      <c r="F57" s="13">
        <v>14896</v>
      </c>
      <c r="G57" s="13">
        <v>8582</v>
      </c>
      <c r="H57" s="13">
        <v>0</v>
      </c>
      <c r="I57" s="13">
        <v>1438</v>
      </c>
      <c r="J57" s="13">
        <v>0</v>
      </c>
      <c r="K57" s="13">
        <v>1438</v>
      </c>
    </row>
    <row r="58" spans="1:11" x14ac:dyDescent="0.25">
      <c r="A58" t="s">
        <v>167</v>
      </c>
      <c r="B58" t="s">
        <v>2191</v>
      </c>
      <c r="C58">
        <v>0</v>
      </c>
      <c r="D58" s="13">
        <v>1368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1368</v>
      </c>
      <c r="K58" s="13">
        <v>1368</v>
      </c>
    </row>
    <row r="59" spans="1:11" x14ac:dyDescent="0.25">
      <c r="A59" t="s">
        <v>54</v>
      </c>
      <c r="B59" t="s">
        <v>2191</v>
      </c>
      <c r="C59">
        <v>1300000</v>
      </c>
      <c r="D59" s="13">
        <v>1000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1000</v>
      </c>
      <c r="K59" s="13">
        <v>1000</v>
      </c>
    </row>
    <row r="60" spans="1:11" x14ac:dyDescent="0.25">
      <c r="A60" t="s">
        <v>153</v>
      </c>
      <c r="B60" t="s">
        <v>2191</v>
      </c>
      <c r="C60">
        <v>500000</v>
      </c>
      <c r="D60" s="13">
        <v>508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508</v>
      </c>
      <c r="K60" s="13">
        <v>508</v>
      </c>
    </row>
    <row r="61" spans="1:11" x14ac:dyDescent="0.25">
      <c r="A61" t="s">
        <v>139</v>
      </c>
      <c r="B61" t="s">
        <v>2191</v>
      </c>
      <c r="C61">
        <v>50000</v>
      </c>
      <c r="D61" s="13">
        <v>0.4</v>
      </c>
      <c r="E61" s="13">
        <v>0</v>
      </c>
      <c r="F61" s="13">
        <v>0</v>
      </c>
      <c r="G61" s="13">
        <v>0</v>
      </c>
      <c r="H61" s="13">
        <v>0</v>
      </c>
      <c r="I61" s="13">
        <v>0.4</v>
      </c>
      <c r="J61" s="13">
        <v>0</v>
      </c>
      <c r="K61" s="13">
        <v>0.4</v>
      </c>
    </row>
    <row r="62" spans="1:11" x14ac:dyDescent="0.25">
      <c r="A62" t="s">
        <v>1788</v>
      </c>
      <c r="B62" t="s">
        <v>2191</v>
      </c>
      <c r="C62">
        <v>0</v>
      </c>
      <c r="D62" s="13">
        <v>7137</v>
      </c>
      <c r="E62" s="13">
        <v>7137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</row>
    <row r="63" spans="1:11" x14ac:dyDescent="0.25">
      <c r="A63" t="s">
        <v>415</v>
      </c>
      <c r="B63" t="s">
        <v>2191</v>
      </c>
      <c r="C63">
        <v>0</v>
      </c>
      <c r="D63" s="13">
        <v>2625</v>
      </c>
      <c r="E63" s="13">
        <v>2625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</row>
    <row r="64" spans="1:11" x14ac:dyDescent="0.25">
      <c r="A64" t="s">
        <v>2078</v>
      </c>
      <c r="B64" t="s">
        <v>2191</v>
      </c>
      <c r="C64">
        <v>175000</v>
      </c>
      <c r="D64" s="13">
        <v>2600</v>
      </c>
      <c r="E64" s="13">
        <v>2600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</row>
    <row r="65" spans="1:11" x14ac:dyDescent="0.25">
      <c r="A65" t="s">
        <v>2155</v>
      </c>
      <c r="B65" t="s">
        <v>2191</v>
      </c>
      <c r="C65">
        <v>0</v>
      </c>
      <c r="D65" s="13">
        <v>2668</v>
      </c>
      <c r="E65" s="13">
        <v>2668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</row>
    <row r="66" spans="1:11" x14ac:dyDescent="0.25">
      <c r="A66" t="s">
        <v>1737</v>
      </c>
      <c r="B66" t="s">
        <v>2191</v>
      </c>
      <c r="C66">
        <v>0</v>
      </c>
      <c r="D66" s="13">
        <v>13563</v>
      </c>
      <c r="E66" s="13">
        <v>13563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</row>
    <row r="67" spans="1:11" x14ac:dyDescent="0.25">
      <c r="A67" t="s">
        <v>1773</v>
      </c>
      <c r="B67" t="s">
        <v>2191</v>
      </c>
      <c r="C67">
        <v>0</v>
      </c>
      <c r="D67" s="13">
        <v>2634</v>
      </c>
      <c r="E67" s="13">
        <v>2634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</row>
    <row r="68" spans="1:11" x14ac:dyDescent="0.25">
      <c r="A68" t="s">
        <v>2025</v>
      </c>
      <c r="B68" t="s">
        <v>2191</v>
      </c>
      <c r="C68">
        <v>0</v>
      </c>
      <c r="D68" s="13">
        <v>7061</v>
      </c>
      <c r="E68" s="13">
        <v>7061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</row>
    <row r="69" spans="1:11" x14ac:dyDescent="0.25">
      <c r="A69" t="s">
        <v>141</v>
      </c>
      <c r="B69" t="s">
        <v>2191</v>
      </c>
      <c r="C69">
        <v>0</v>
      </c>
      <c r="D69" s="13">
        <v>8181</v>
      </c>
      <c r="E69" s="13">
        <v>0</v>
      </c>
      <c r="F69" s="13">
        <v>8181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</row>
    <row r="70" spans="1:11" x14ac:dyDescent="0.25">
      <c r="A70" t="s">
        <v>1781</v>
      </c>
      <c r="B70" t="s">
        <v>2191</v>
      </c>
      <c r="C70">
        <v>0</v>
      </c>
      <c r="D70" s="13">
        <v>2231</v>
      </c>
      <c r="E70" s="13">
        <v>2231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</row>
    <row r="71" spans="1:11" x14ac:dyDescent="0.25">
      <c r="A71" t="s">
        <v>746</v>
      </c>
      <c r="B71" t="s">
        <v>2191</v>
      </c>
      <c r="C71">
        <v>500000</v>
      </c>
      <c r="D71" s="13">
        <v>7055</v>
      </c>
      <c r="E71" s="13">
        <v>7055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</row>
    <row r="72" spans="1:11" x14ac:dyDescent="0.25">
      <c r="A72" t="s">
        <v>2152</v>
      </c>
      <c r="B72" t="s">
        <v>2191</v>
      </c>
      <c r="C72">
        <v>0</v>
      </c>
      <c r="D72" s="13">
        <v>2149</v>
      </c>
      <c r="E72" s="13">
        <v>2149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</row>
    <row r="73" spans="1:11" x14ac:dyDescent="0.25">
      <c r="A73" t="s">
        <v>1746</v>
      </c>
      <c r="B73" t="s">
        <v>2191</v>
      </c>
      <c r="C73">
        <v>0</v>
      </c>
      <c r="D73" s="13">
        <v>2691</v>
      </c>
      <c r="E73" s="13">
        <v>2691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</row>
    <row r="74" spans="1:11" x14ac:dyDescent="0.25">
      <c r="A74" t="s">
        <v>52</v>
      </c>
      <c r="B74" t="s">
        <v>2191</v>
      </c>
      <c r="C74">
        <v>0</v>
      </c>
      <c r="D74" s="13">
        <v>5836</v>
      </c>
      <c r="E74" s="13">
        <v>0</v>
      </c>
      <c r="F74" s="13">
        <v>5836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</row>
    <row r="75" spans="1:11" x14ac:dyDescent="0.25">
      <c r="A75" t="s">
        <v>143</v>
      </c>
      <c r="B75" t="s">
        <v>2191</v>
      </c>
      <c r="C75">
        <v>600000</v>
      </c>
      <c r="D75" s="13">
        <v>48092</v>
      </c>
      <c r="E75" s="13">
        <v>17550</v>
      </c>
      <c r="F75" s="13">
        <v>22267</v>
      </c>
      <c r="G75" s="13">
        <v>8275</v>
      </c>
      <c r="H75" s="13">
        <v>0</v>
      </c>
      <c r="I75" s="13">
        <v>0</v>
      </c>
      <c r="J75" s="13">
        <v>0</v>
      </c>
      <c r="K75" s="13">
        <v>0</v>
      </c>
    </row>
    <row r="76" spans="1:11" x14ac:dyDescent="0.25">
      <c r="A76" t="s">
        <v>986</v>
      </c>
      <c r="B76" t="s">
        <v>2191</v>
      </c>
      <c r="C76">
        <v>0</v>
      </c>
      <c r="D76" s="13">
        <v>7528</v>
      </c>
      <c r="E76" s="13">
        <v>0</v>
      </c>
      <c r="F76" s="13">
        <v>0</v>
      </c>
      <c r="G76" s="13">
        <v>7528</v>
      </c>
      <c r="H76" s="13">
        <v>0</v>
      </c>
      <c r="I76" s="13">
        <v>0</v>
      </c>
      <c r="J76" s="13">
        <v>0</v>
      </c>
      <c r="K76" s="13">
        <v>0</v>
      </c>
    </row>
    <row r="77" spans="1:11" x14ac:dyDescent="0.25">
      <c r="A77" t="s">
        <v>1626</v>
      </c>
      <c r="B77" t="s">
        <v>2191</v>
      </c>
      <c r="C77">
        <v>0</v>
      </c>
      <c r="D77" s="13">
        <v>10038</v>
      </c>
      <c r="E77" s="13">
        <v>10038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</row>
    <row r="78" spans="1:11" x14ac:dyDescent="0.25">
      <c r="A78" t="s">
        <v>1915</v>
      </c>
      <c r="B78" t="s">
        <v>2191</v>
      </c>
      <c r="C78">
        <v>0</v>
      </c>
      <c r="D78" s="13">
        <v>7061</v>
      </c>
      <c r="E78" s="13">
        <v>7061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</row>
    <row r="79" spans="1:11" x14ac:dyDescent="0.25">
      <c r="A79" t="s">
        <v>240</v>
      </c>
      <c r="B79" t="s">
        <v>2191</v>
      </c>
      <c r="C79">
        <v>0</v>
      </c>
      <c r="D79" s="13">
        <v>6047</v>
      </c>
      <c r="E79" s="13">
        <v>6047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</row>
    <row r="80" spans="1:11" x14ac:dyDescent="0.25">
      <c r="A80" t="s">
        <v>1973</v>
      </c>
      <c r="B80" t="s">
        <v>2191</v>
      </c>
      <c r="C80">
        <v>0</v>
      </c>
      <c r="D80" s="13">
        <v>7749</v>
      </c>
      <c r="E80" s="13">
        <v>7749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</row>
    <row r="81" spans="1:11" x14ac:dyDescent="0.25">
      <c r="A81" t="s">
        <v>1811</v>
      </c>
      <c r="B81" t="s">
        <v>2191</v>
      </c>
      <c r="C81">
        <v>0</v>
      </c>
      <c r="D81" s="13">
        <v>6837</v>
      </c>
      <c r="E81" s="13">
        <v>6837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</row>
    <row r="82" spans="1:11" x14ac:dyDescent="0.25">
      <c r="A82" t="s">
        <v>1126</v>
      </c>
      <c r="B82" t="s">
        <v>2191</v>
      </c>
      <c r="C82">
        <v>0</v>
      </c>
      <c r="D82" s="13">
        <v>12742</v>
      </c>
      <c r="E82" s="13">
        <v>6371</v>
      </c>
      <c r="F82" s="13">
        <v>6371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</row>
    <row r="83" spans="1:11" x14ac:dyDescent="0.25">
      <c r="A83" t="s">
        <v>33</v>
      </c>
      <c r="B83" t="s">
        <v>2191</v>
      </c>
      <c r="C83">
        <v>550000</v>
      </c>
      <c r="D83" s="13">
        <v>1525</v>
      </c>
      <c r="E83" s="13">
        <v>1525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</row>
    <row r="84" spans="1:11" x14ac:dyDescent="0.25">
      <c r="A84" t="s">
        <v>48</v>
      </c>
      <c r="B84" t="s">
        <v>2191</v>
      </c>
      <c r="C84">
        <v>300000</v>
      </c>
      <c r="D84" s="13">
        <v>5779</v>
      </c>
      <c r="E84" s="13">
        <v>0</v>
      </c>
      <c r="F84" s="13">
        <v>3479</v>
      </c>
      <c r="G84" s="13">
        <v>2300</v>
      </c>
      <c r="H84" s="13">
        <v>0</v>
      </c>
      <c r="I84" s="13">
        <v>0</v>
      </c>
      <c r="J84" s="13">
        <v>0</v>
      </c>
      <c r="K84" s="13">
        <v>0</v>
      </c>
    </row>
    <row r="85" spans="1:11" x14ac:dyDescent="0.25">
      <c r="A85" t="s">
        <v>142</v>
      </c>
      <c r="B85" t="s">
        <v>2191</v>
      </c>
      <c r="C85">
        <v>1540000</v>
      </c>
      <c r="D85" s="13">
        <v>30020</v>
      </c>
      <c r="E85" s="13">
        <v>12966</v>
      </c>
      <c r="F85" s="13">
        <v>8925</v>
      </c>
      <c r="G85" s="13">
        <v>8129</v>
      </c>
      <c r="H85" s="13">
        <v>0</v>
      </c>
      <c r="I85" s="13">
        <v>0</v>
      </c>
      <c r="J85" s="13">
        <v>0</v>
      </c>
      <c r="K85" s="13">
        <v>0</v>
      </c>
    </row>
    <row r="86" spans="1:11" x14ac:dyDescent="0.25">
      <c r="A86" t="s">
        <v>1629</v>
      </c>
      <c r="B86" t="s">
        <v>2191</v>
      </c>
      <c r="C86" t="s">
        <v>2181</v>
      </c>
      <c r="D86" s="13">
        <v>5288</v>
      </c>
      <c r="E86" s="13">
        <v>5288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</row>
    <row r="87" spans="1:11" x14ac:dyDescent="0.25">
      <c r="A87" t="s">
        <v>34</v>
      </c>
      <c r="B87" t="s">
        <v>2191</v>
      </c>
      <c r="C87">
        <v>0</v>
      </c>
      <c r="D87" s="13">
        <v>6933</v>
      </c>
      <c r="E87" s="13">
        <v>6933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</row>
    <row r="88" spans="1:11" x14ac:dyDescent="0.25">
      <c r="A88" t="s">
        <v>27</v>
      </c>
      <c r="B88" t="s">
        <v>2191</v>
      </c>
      <c r="C88">
        <v>480000</v>
      </c>
      <c r="D88" s="13">
        <v>9961</v>
      </c>
      <c r="E88" s="13">
        <v>0</v>
      </c>
      <c r="F88" s="13">
        <v>9961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</row>
    <row r="89" spans="1:11" x14ac:dyDescent="0.25">
      <c r="A89" t="s">
        <v>179</v>
      </c>
      <c r="B89" t="s">
        <v>2191</v>
      </c>
      <c r="C89">
        <v>0</v>
      </c>
      <c r="D89" s="13">
        <v>7210</v>
      </c>
      <c r="E89" s="13">
        <v>7210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</row>
    <row r="90" spans="1:11" x14ac:dyDescent="0.25">
      <c r="A90" t="s">
        <v>2112</v>
      </c>
      <c r="B90" t="s">
        <v>2191</v>
      </c>
      <c r="C90">
        <v>0</v>
      </c>
      <c r="D90" s="13">
        <v>7061</v>
      </c>
      <c r="E90" s="13">
        <v>7061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</row>
    <row r="91" spans="1:11" x14ac:dyDescent="0.25">
      <c r="A91" t="s">
        <v>2090</v>
      </c>
      <c r="B91" t="s">
        <v>2191</v>
      </c>
      <c r="C91">
        <v>0</v>
      </c>
      <c r="D91" s="13">
        <v>7061</v>
      </c>
      <c r="E91" s="13">
        <v>7061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</row>
    <row r="92" spans="1:11" x14ac:dyDescent="0.25">
      <c r="A92" t="s">
        <v>1681</v>
      </c>
      <c r="B92" t="s">
        <v>2191</v>
      </c>
      <c r="C92" t="s">
        <v>2181</v>
      </c>
      <c r="D92" s="13">
        <v>7061</v>
      </c>
      <c r="E92" s="13">
        <v>7061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</row>
    <row r="93" spans="1:11" x14ac:dyDescent="0.25">
      <c r="A93" t="s">
        <v>1243</v>
      </c>
      <c r="B93" t="s">
        <v>2191</v>
      </c>
      <c r="C93">
        <v>300000</v>
      </c>
      <c r="D93" s="13">
        <v>8646</v>
      </c>
      <c r="E93" s="13">
        <v>0</v>
      </c>
      <c r="F93" s="13">
        <v>8646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</row>
    <row r="94" spans="1:11" x14ac:dyDescent="0.25">
      <c r="A94" t="s">
        <v>1770</v>
      </c>
      <c r="B94" t="s">
        <v>2191</v>
      </c>
      <c r="C94">
        <v>0</v>
      </c>
      <c r="D94" s="13">
        <v>7061</v>
      </c>
      <c r="E94" s="13">
        <v>7061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</row>
    <row r="95" spans="1:11" x14ac:dyDescent="0.25">
      <c r="A95" t="s">
        <v>165</v>
      </c>
      <c r="B95" t="s">
        <v>2191</v>
      </c>
      <c r="C95">
        <v>0</v>
      </c>
      <c r="D95" s="13">
        <v>4715</v>
      </c>
      <c r="E95" s="13">
        <v>4715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</row>
    <row r="96" spans="1:11" x14ac:dyDescent="0.25">
      <c r="A96" t="s">
        <v>1791</v>
      </c>
      <c r="B96" t="s">
        <v>2191</v>
      </c>
      <c r="C96">
        <v>0</v>
      </c>
      <c r="D96" s="13">
        <v>3003</v>
      </c>
      <c r="E96" s="13">
        <v>3003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</row>
    <row r="97" spans="1:11" x14ac:dyDescent="0.25">
      <c r="A97" t="s">
        <v>2039</v>
      </c>
      <c r="B97" t="s">
        <v>2191</v>
      </c>
      <c r="C97">
        <v>0</v>
      </c>
      <c r="D97" s="13">
        <v>7061</v>
      </c>
      <c r="E97" s="13">
        <v>7061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</row>
    <row r="98" spans="1:11" x14ac:dyDescent="0.25">
      <c r="A98" t="s">
        <v>2006</v>
      </c>
      <c r="B98" t="s">
        <v>2191</v>
      </c>
      <c r="C98">
        <v>0</v>
      </c>
      <c r="D98" s="13">
        <v>15021</v>
      </c>
      <c r="E98" s="13">
        <v>15021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</row>
    <row r="99" spans="1:11" x14ac:dyDescent="0.25">
      <c r="A99" t="s">
        <v>2134</v>
      </c>
      <c r="B99" t="s">
        <v>2191</v>
      </c>
      <c r="C99">
        <v>0</v>
      </c>
      <c r="D99" s="13">
        <v>7061</v>
      </c>
      <c r="E99" s="13">
        <v>7061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</row>
    <row r="100" spans="1:11" x14ac:dyDescent="0.25">
      <c r="A100" t="s">
        <v>478</v>
      </c>
      <c r="B100" t="s">
        <v>2191</v>
      </c>
      <c r="C100">
        <v>0</v>
      </c>
      <c r="D100" s="13">
        <v>2691</v>
      </c>
      <c r="E100" s="13">
        <v>2691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</row>
    <row r="101" spans="1:11" x14ac:dyDescent="0.25">
      <c r="A101" t="s">
        <v>1759</v>
      </c>
      <c r="B101" t="s">
        <v>2191</v>
      </c>
      <c r="C101">
        <v>0</v>
      </c>
      <c r="D101" s="13">
        <v>7353</v>
      </c>
      <c r="E101" s="13">
        <v>7353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</row>
    <row r="102" spans="1:11" x14ac:dyDescent="0.25">
      <c r="A102" t="s">
        <v>2099</v>
      </c>
      <c r="B102" t="s">
        <v>2191</v>
      </c>
      <c r="C102">
        <v>0</v>
      </c>
      <c r="D102" s="13">
        <v>15912</v>
      </c>
      <c r="E102" s="13">
        <v>15912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</row>
    <row r="103" spans="1:11" x14ac:dyDescent="0.25">
      <c r="A103" t="s">
        <v>1808</v>
      </c>
      <c r="B103" t="s">
        <v>2191</v>
      </c>
      <c r="C103">
        <v>0</v>
      </c>
      <c r="D103" s="13">
        <v>7349</v>
      </c>
      <c r="E103" s="13">
        <v>7349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</row>
    <row r="104" spans="1:11" x14ac:dyDescent="0.25">
      <c r="A104" t="s">
        <v>1767</v>
      </c>
      <c r="B104" t="s">
        <v>2191</v>
      </c>
      <c r="C104">
        <v>0</v>
      </c>
      <c r="D104" s="13">
        <v>4947</v>
      </c>
      <c r="E104" s="13">
        <v>4947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</row>
    <row r="105" spans="1:11" x14ac:dyDescent="0.25">
      <c r="A105" t="s">
        <v>132</v>
      </c>
      <c r="B105" t="s">
        <v>2191</v>
      </c>
      <c r="C105">
        <v>100000</v>
      </c>
      <c r="D105" s="13">
        <v>21036</v>
      </c>
      <c r="E105" s="13">
        <v>7818</v>
      </c>
      <c r="F105" s="13">
        <v>7122</v>
      </c>
      <c r="G105" s="13">
        <v>6096</v>
      </c>
      <c r="H105" s="13">
        <v>0</v>
      </c>
      <c r="I105" s="13">
        <v>0</v>
      </c>
      <c r="J105" s="13">
        <v>0</v>
      </c>
      <c r="K105" s="13">
        <v>0</v>
      </c>
    </row>
    <row r="106" spans="1:11" x14ac:dyDescent="0.25">
      <c r="A106" t="s">
        <v>134</v>
      </c>
      <c r="B106" t="s">
        <v>2191</v>
      </c>
      <c r="C106">
        <v>0</v>
      </c>
      <c r="D106" s="13">
        <v>29168</v>
      </c>
      <c r="E106" s="13">
        <v>29168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</row>
    <row r="107" spans="1:11" x14ac:dyDescent="0.25">
      <c r="A107" t="s">
        <v>45</v>
      </c>
      <c r="B107" t="s">
        <v>2191</v>
      </c>
      <c r="C107">
        <v>0</v>
      </c>
      <c r="D107" s="13">
        <v>12810</v>
      </c>
      <c r="E107" s="13">
        <v>0</v>
      </c>
      <c r="F107" s="13">
        <v>6467</v>
      </c>
      <c r="G107" s="13">
        <v>6343</v>
      </c>
      <c r="H107" s="13">
        <v>0</v>
      </c>
      <c r="I107" s="13">
        <v>0</v>
      </c>
      <c r="J107" s="13">
        <v>0</v>
      </c>
      <c r="K107" s="13">
        <v>0</v>
      </c>
    </row>
    <row r="108" spans="1:11" x14ac:dyDescent="0.25">
      <c r="A108" t="s">
        <v>2034</v>
      </c>
      <c r="B108" t="s">
        <v>2191</v>
      </c>
      <c r="C108">
        <v>0</v>
      </c>
      <c r="D108" s="13">
        <v>7190</v>
      </c>
      <c r="E108" s="13">
        <v>7190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</row>
    <row r="109" spans="1:11" x14ac:dyDescent="0.25">
      <c r="A109" t="s">
        <v>1378</v>
      </c>
      <c r="B109" t="s">
        <v>2191</v>
      </c>
      <c r="C109" t="s">
        <v>2181</v>
      </c>
      <c r="D109" s="13">
        <v>1886</v>
      </c>
      <c r="E109" s="13">
        <v>1886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</row>
    <row r="110" spans="1:11" x14ac:dyDescent="0.25">
      <c r="A110" t="s">
        <v>35</v>
      </c>
      <c r="B110" t="s">
        <v>2191</v>
      </c>
      <c r="C110">
        <v>0</v>
      </c>
      <c r="D110" s="13">
        <v>7216</v>
      </c>
      <c r="E110" s="13">
        <v>7216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</row>
    <row r="111" spans="1:11" x14ac:dyDescent="0.25">
      <c r="A111" t="s">
        <v>233</v>
      </c>
      <c r="B111" t="s">
        <v>2191</v>
      </c>
      <c r="C111">
        <v>600000</v>
      </c>
      <c r="D111" s="13">
        <v>3741</v>
      </c>
      <c r="E111" s="13">
        <v>3741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</row>
    <row r="112" spans="1:11" x14ac:dyDescent="0.25">
      <c r="A112" t="s">
        <v>2045</v>
      </c>
      <c r="B112" t="s">
        <v>2191</v>
      </c>
      <c r="C112">
        <v>0</v>
      </c>
      <c r="D112" s="13">
        <v>7829</v>
      </c>
      <c r="E112" s="13">
        <v>7829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</row>
    <row r="113" spans="1:11" x14ac:dyDescent="0.25">
      <c r="A113" t="s">
        <v>2031</v>
      </c>
      <c r="B113" t="s">
        <v>2191</v>
      </c>
      <c r="C113">
        <v>600000</v>
      </c>
      <c r="D113" s="13">
        <v>5219</v>
      </c>
      <c r="E113" s="13">
        <v>5219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</row>
    <row r="114" spans="1:11" x14ac:dyDescent="0.25">
      <c r="A114" t="s">
        <v>2003</v>
      </c>
      <c r="B114" t="s">
        <v>2191</v>
      </c>
      <c r="C114">
        <v>0</v>
      </c>
      <c r="D114" s="13">
        <v>7099</v>
      </c>
      <c r="E114" s="13">
        <v>7099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</row>
    <row r="115" spans="1:11" x14ac:dyDescent="0.25">
      <c r="A115" t="s">
        <v>1198</v>
      </c>
      <c r="B115" t="s">
        <v>2191</v>
      </c>
      <c r="C115">
        <v>0</v>
      </c>
      <c r="D115" s="13">
        <v>4689</v>
      </c>
      <c r="E115" s="13">
        <v>0</v>
      </c>
      <c r="F115" s="13">
        <v>4689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</row>
    <row r="116" spans="1:11" x14ac:dyDescent="0.25">
      <c r="A116" t="s">
        <v>2000</v>
      </c>
      <c r="B116" t="s">
        <v>2191</v>
      </c>
      <c r="C116">
        <v>0</v>
      </c>
      <c r="D116" s="13">
        <v>8410</v>
      </c>
      <c r="E116" s="13">
        <v>8410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</row>
    <row r="117" spans="1:11" x14ac:dyDescent="0.25">
      <c r="A117" t="s">
        <v>1829</v>
      </c>
      <c r="B117" t="s">
        <v>2191</v>
      </c>
      <c r="C117">
        <v>0</v>
      </c>
      <c r="D117" s="13">
        <v>6608</v>
      </c>
      <c r="E117" s="13">
        <v>6608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</row>
    <row r="118" spans="1:11" x14ac:dyDescent="0.25">
      <c r="A118" t="s">
        <v>1798</v>
      </c>
      <c r="B118" t="s">
        <v>2191</v>
      </c>
      <c r="C118">
        <v>0</v>
      </c>
      <c r="D118" s="13">
        <v>6441</v>
      </c>
      <c r="E118" s="13">
        <v>6441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</row>
    <row r="119" spans="1:11" x14ac:dyDescent="0.25">
      <c r="A119" t="s">
        <v>1801</v>
      </c>
      <c r="B119" t="s">
        <v>2191</v>
      </c>
      <c r="C119">
        <v>0</v>
      </c>
      <c r="D119" s="13">
        <v>7061</v>
      </c>
      <c r="E119" s="13">
        <v>7061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</row>
    <row r="120" spans="1:11" x14ac:dyDescent="0.25">
      <c r="A120" t="s">
        <v>2158</v>
      </c>
      <c r="B120" t="s">
        <v>2191</v>
      </c>
      <c r="C120">
        <v>0</v>
      </c>
      <c r="D120" s="13">
        <v>7061</v>
      </c>
      <c r="E120" s="13">
        <v>7061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</row>
    <row r="121" spans="1:11" x14ac:dyDescent="0.25">
      <c r="A121" t="s">
        <v>1912</v>
      </c>
      <c r="B121" t="s">
        <v>2191</v>
      </c>
      <c r="C121">
        <v>0</v>
      </c>
      <c r="D121" s="13">
        <v>2300</v>
      </c>
      <c r="E121" s="13">
        <v>2300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</row>
    <row r="122" spans="1:11" x14ac:dyDescent="0.25">
      <c r="A122" t="s">
        <v>2051</v>
      </c>
      <c r="B122" t="s">
        <v>2191</v>
      </c>
      <c r="C122">
        <v>0</v>
      </c>
      <c r="D122" s="13">
        <v>7061</v>
      </c>
      <c r="E122" s="13">
        <v>7061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</row>
    <row r="123" spans="1:11" x14ac:dyDescent="0.25">
      <c r="A123" t="s">
        <v>757</v>
      </c>
      <c r="B123" t="s">
        <v>2191</v>
      </c>
      <c r="C123">
        <v>0</v>
      </c>
      <c r="D123" s="13">
        <v>9199</v>
      </c>
      <c r="E123" s="13">
        <v>9199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</row>
    <row r="124" spans="1:11" x14ac:dyDescent="0.25">
      <c r="A124" t="s">
        <v>37</v>
      </c>
      <c r="B124" t="s">
        <v>2191</v>
      </c>
      <c r="C124">
        <v>0</v>
      </c>
      <c r="D124" s="13">
        <v>7064</v>
      </c>
      <c r="E124" s="13">
        <v>7064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</row>
    <row r="125" spans="1:11" x14ac:dyDescent="0.25">
      <c r="A125" t="s">
        <v>1658</v>
      </c>
      <c r="B125" t="s">
        <v>2191</v>
      </c>
      <c r="C125">
        <v>0</v>
      </c>
      <c r="D125" s="13">
        <v>6509</v>
      </c>
      <c r="E125" s="13">
        <v>6509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</row>
    <row r="126" spans="1:11" x14ac:dyDescent="0.25">
      <c r="A126" t="s">
        <v>2149</v>
      </c>
      <c r="B126" t="s">
        <v>2191</v>
      </c>
      <c r="C126">
        <v>0</v>
      </c>
      <c r="D126" s="13">
        <v>7871</v>
      </c>
      <c r="E126" s="13">
        <v>7871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</row>
    <row r="127" spans="1:11" x14ac:dyDescent="0.25">
      <c r="A127" t="s">
        <v>1966</v>
      </c>
      <c r="B127" t="s">
        <v>2191</v>
      </c>
      <c r="C127">
        <v>0</v>
      </c>
      <c r="D127" s="13">
        <v>3726</v>
      </c>
      <c r="E127" s="13">
        <v>3726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</row>
    <row r="128" spans="1:11" x14ac:dyDescent="0.25">
      <c r="A128" t="s">
        <v>1691</v>
      </c>
      <c r="B128" t="s">
        <v>2191</v>
      </c>
      <c r="C128">
        <v>0</v>
      </c>
      <c r="D128" s="13">
        <v>2300</v>
      </c>
      <c r="E128" s="13">
        <v>2300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</row>
    <row r="129" spans="1:11" x14ac:dyDescent="0.25">
      <c r="A129" t="s">
        <v>1353</v>
      </c>
      <c r="B129" t="s">
        <v>2191</v>
      </c>
      <c r="C129">
        <v>500000</v>
      </c>
      <c r="D129" s="13">
        <v>10028</v>
      </c>
      <c r="E129" s="13">
        <v>6877</v>
      </c>
      <c r="F129" s="13">
        <v>3151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</row>
    <row r="130" spans="1:11" x14ac:dyDescent="0.25">
      <c r="A130" t="s">
        <v>1978</v>
      </c>
      <c r="B130" t="s">
        <v>2191</v>
      </c>
      <c r="C130" t="s">
        <v>2181</v>
      </c>
      <c r="D130" s="13">
        <v>2498</v>
      </c>
      <c r="E130" s="13">
        <v>2498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</row>
    <row r="131" spans="1:11" x14ac:dyDescent="0.25">
      <c r="A131" t="s">
        <v>1956</v>
      </c>
      <c r="B131" t="s">
        <v>2191</v>
      </c>
      <c r="C131">
        <v>0</v>
      </c>
      <c r="D131" s="13">
        <v>368</v>
      </c>
      <c r="E131" s="13">
        <v>368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</row>
    <row r="132" spans="1:11" x14ac:dyDescent="0.25">
      <c r="A132" t="s">
        <v>2131</v>
      </c>
      <c r="B132" t="s">
        <v>2191</v>
      </c>
      <c r="C132">
        <v>0</v>
      </c>
      <c r="D132" s="13">
        <v>7820</v>
      </c>
      <c r="E132" s="13">
        <v>7820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</row>
    <row r="133" spans="1:11" x14ac:dyDescent="0.25">
      <c r="A133" t="s">
        <v>2121</v>
      </c>
      <c r="B133" t="s">
        <v>2191</v>
      </c>
      <c r="C133">
        <v>0</v>
      </c>
      <c r="D133" s="13">
        <v>2576</v>
      </c>
      <c r="E133" s="13">
        <v>2576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</row>
    <row r="134" spans="1:11" x14ac:dyDescent="0.25">
      <c r="A134" t="s">
        <v>856</v>
      </c>
      <c r="B134" t="s">
        <v>2191</v>
      </c>
      <c r="C134">
        <v>100000</v>
      </c>
      <c r="D134" s="13">
        <v>228</v>
      </c>
      <c r="E134" s="13">
        <v>0</v>
      </c>
      <c r="F134" s="13">
        <v>161</v>
      </c>
      <c r="G134" s="13">
        <v>67</v>
      </c>
      <c r="H134" s="13">
        <v>0</v>
      </c>
      <c r="I134" s="13">
        <v>0</v>
      </c>
      <c r="J134" s="13">
        <v>0</v>
      </c>
      <c r="K134" s="13">
        <v>0</v>
      </c>
    </row>
    <row r="135" spans="1:11" x14ac:dyDescent="0.25">
      <c r="A135" t="s">
        <v>2042</v>
      </c>
      <c r="B135" t="s">
        <v>2191</v>
      </c>
      <c r="C135">
        <v>0</v>
      </c>
      <c r="D135" s="13">
        <v>7061</v>
      </c>
      <c r="E135" s="13">
        <v>7061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</row>
    <row r="136" spans="1:11" x14ac:dyDescent="0.25">
      <c r="A136" t="s">
        <v>858</v>
      </c>
      <c r="B136" t="s">
        <v>2191</v>
      </c>
      <c r="C136">
        <v>0</v>
      </c>
      <c r="D136" s="13">
        <v>416</v>
      </c>
      <c r="E136" s="13">
        <v>0</v>
      </c>
      <c r="F136" s="13">
        <v>0</v>
      </c>
      <c r="G136" s="13">
        <v>416</v>
      </c>
      <c r="H136" s="13">
        <v>0</v>
      </c>
      <c r="I136" s="13">
        <v>0</v>
      </c>
      <c r="J136" s="13">
        <v>0</v>
      </c>
      <c r="K136" s="13">
        <v>0</v>
      </c>
    </row>
    <row r="137" spans="1:11" x14ac:dyDescent="0.25">
      <c r="A137" t="s">
        <v>175</v>
      </c>
      <c r="B137" t="s">
        <v>2191</v>
      </c>
      <c r="C137">
        <v>1500000</v>
      </c>
      <c r="D137" s="13">
        <v>24969</v>
      </c>
      <c r="E137" s="13">
        <v>0</v>
      </c>
      <c r="F137" s="13">
        <v>19580</v>
      </c>
      <c r="G137" s="13">
        <v>5389</v>
      </c>
      <c r="H137" s="13">
        <v>0</v>
      </c>
      <c r="I137" s="13">
        <v>0</v>
      </c>
      <c r="J137" s="13">
        <v>0</v>
      </c>
      <c r="K137" s="13">
        <v>0</v>
      </c>
    </row>
    <row r="138" spans="1:11" x14ac:dyDescent="0.25">
      <c r="A138" t="s">
        <v>982</v>
      </c>
      <c r="B138" t="s">
        <v>2191</v>
      </c>
      <c r="C138">
        <v>0</v>
      </c>
      <c r="D138" s="13">
        <v>2346</v>
      </c>
      <c r="E138" s="13">
        <v>2346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</row>
    <row r="139" spans="1:11" x14ac:dyDescent="0.25">
      <c r="A139" t="s">
        <v>39</v>
      </c>
      <c r="B139" t="s">
        <v>2191</v>
      </c>
      <c r="C139">
        <v>7500000</v>
      </c>
      <c r="D139" s="13">
        <v>28725</v>
      </c>
      <c r="E139" s="13">
        <v>11145</v>
      </c>
      <c r="F139" s="13">
        <v>17580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</row>
    <row r="140" spans="1:11" x14ac:dyDescent="0.25">
      <c r="A140" t="s">
        <v>151</v>
      </c>
      <c r="B140" t="s">
        <v>2191</v>
      </c>
      <c r="C140">
        <v>0</v>
      </c>
      <c r="D140" s="13">
        <v>3726</v>
      </c>
      <c r="E140" s="13">
        <v>3726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</row>
    <row r="141" spans="1:11" x14ac:dyDescent="0.25">
      <c r="A141" t="s">
        <v>2102</v>
      </c>
      <c r="B141" t="s">
        <v>2191</v>
      </c>
      <c r="C141">
        <v>0</v>
      </c>
      <c r="D141" s="13">
        <v>14769</v>
      </c>
      <c r="E141" s="13">
        <v>14769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</row>
    <row r="142" spans="1:11" x14ac:dyDescent="0.25">
      <c r="A142" t="s">
        <v>266</v>
      </c>
      <c r="B142" t="s">
        <v>2191</v>
      </c>
      <c r="C142">
        <v>0</v>
      </c>
      <c r="D142" s="13">
        <v>4321</v>
      </c>
      <c r="E142" s="13">
        <v>3489</v>
      </c>
      <c r="F142" s="13">
        <v>832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</row>
    <row r="143" spans="1:11" x14ac:dyDescent="0.25">
      <c r="A143" t="s">
        <v>1824</v>
      </c>
      <c r="B143" t="s">
        <v>2191</v>
      </c>
      <c r="C143">
        <v>0</v>
      </c>
      <c r="D143" s="13">
        <v>4156</v>
      </c>
      <c r="E143" s="13">
        <v>4156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</row>
    <row r="144" spans="1:11" x14ac:dyDescent="0.25">
      <c r="A144" t="s">
        <v>991</v>
      </c>
      <c r="B144" t="s">
        <v>2191</v>
      </c>
      <c r="C144">
        <v>0</v>
      </c>
      <c r="D144" s="13">
        <v>7110</v>
      </c>
      <c r="E144" s="13">
        <v>0</v>
      </c>
      <c r="F144" s="13">
        <v>0</v>
      </c>
      <c r="G144" s="13">
        <v>7110</v>
      </c>
      <c r="H144" s="13">
        <v>0</v>
      </c>
      <c r="I144" s="13">
        <v>0</v>
      </c>
      <c r="J144" s="13">
        <v>0</v>
      </c>
      <c r="K144" s="13">
        <v>0</v>
      </c>
    </row>
    <row r="145" spans="1:11" x14ac:dyDescent="0.25">
      <c r="A145" t="s">
        <v>2075</v>
      </c>
      <c r="B145" t="s">
        <v>2191</v>
      </c>
      <c r="C145">
        <v>0</v>
      </c>
      <c r="D145" s="13">
        <v>7061</v>
      </c>
      <c r="E145" s="13">
        <v>7061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</row>
    <row r="146" spans="1:11" x14ac:dyDescent="0.25">
      <c r="A146" t="s">
        <v>2107</v>
      </c>
      <c r="B146" t="s">
        <v>2191</v>
      </c>
      <c r="C146">
        <v>0</v>
      </c>
      <c r="D146" s="13">
        <v>7061</v>
      </c>
      <c r="E146" s="13">
        <v>7061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</row>
    <row r="147" spans="1:11" x14ac:dyDescent="0.25">
      <c r="A147" t="s">
        <v>491</v>
      </c>
      <c r="B147" t="s">
        <v>2191</v>
      </c>
      <c r="C147">
        <v>0</v>
      </c>
      <c r="D147" s="13">
        <v>6051</v>
      </c>
      <c r="E147" s="13">
        <v>0</v>
      </c>
      <c r="F147" s="13">
        <v>0</v>
      </c>
      <c r="G147" s="13">
        <v>6051</v>
      </c>
      <c r="H147" s="13">
        <v>0</v>
      </c>
      <c r="I147" s="13">
        <v>0</v>
      </c>
      <c r="J147" s="13">
        <v>0</v>
      </c>
      <c r="K147" s="13">
        <v>0</v>
      </c>
    </row>
    <row r="148" spans="1:11" x14ac:dyDescent="0.25">
      <c r="A148" t="s">
        <v>163</v>
      </c>
      <c r="B148" t="s">
        <v>2191</v>
      </c>
      <c r="C148">
        <v>1000000</v>
      </c>
      <c r="D148" s="13">
        <v>17803</v>
      </c>
      <c r="E148" s="13">
        <v>8115</v>
      </c>
      <c r="F148" s="13">
        <v>0</v>
      </c>
      <c r="G148" s="13">
        <v>9688</v>
      </c>
      <c r="H148" s="13">
        <v>0</v>
      </c>
      <c r="I148" s="13">
        <v>0</v>
      </c>
      <c r="J148" s="13">
        <v>0</v>
      </c>
      <c r="K148" s="13">
        <v>0</v>
      </c>
    </row>
    <row r="149" spans="1:11" x14ac:dyDescent="0.25">
      <c r="A149" t="s">
        <v>1778</v>
      </c>
      <c r="B149" t="s">
        <v>2191</v>
      </c>
      <c r="C149">
        <v>0</v>
      </c>
      <c r="D149" s="13">
        <v>7061</v>
      </c>
      <c r="E149" s="13">
        <v>7061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</row>
    <row r="150" spans="1:11" x14ac:dyDescent="0.25">
      <c r="A150" t="s">
        <v>2020</v>
      </c>
      <c r="B150" t="s">
        <v>2191</v>
      </c>
      <c r="C150">
        <v>0</v>
      </c>
      <c r="D150" s="13">
        <v>4715</v>
      </c>
      <c r="E150" s="13">
        <v>4715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</row>
    <row r="151" spans="1:11" x14ac:dyDescent="0.25">
      <c r="A151" t="s">
        <v>1115</v>
      </c>
      <c r="B151" t="s">
        <v>2191</v>
      </c>
      <c r="C151" t="s">
        <v>2181</v>
      </c>
      <c r="D151" s="13">
        <v>6371</v>
      </c>
      <c r="E151" s="13">
        <v>0</v>
      </c>
      <c r="F151" s="13">
        <v>6371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</row>
    <row r="152" spans="1:11" x14ac:dyDescent="0.25">
      <c r="A152" t="s">
        <v>2028</v>
      </c>
      <c r="B152" t="s">
        <v>2191</v>
      </c>
      <c r="C152">
        <v>0</v>
      </c>
      <c r="D152" s="13">
        <v>9412</v>
      </c>
      <c r="E152" s="13">
        <v>9412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</row>
    <row r="153" spans="1:11" x14ac:dyDescent="0.25">
      <c r="A153" t="s">
        <v>2048</v>
      </c>
      <c r="B153" t="s">
        <v>2191</v>
      </c>
      <c r="C153">
        <v>0</v>
      </c>
      <c r="D153" s="13">
        <v>6371</v>
      </c>
      <c r="E153" s="13">
        <v>6371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</row>
    <row r="154" spans="1:11" x14ac:dyDescent="0.25">
      <c r="A154" t="s">
        <v>1836</v>
      </c>
      <c r="B154" t="s">
        <v>2191</v>
      </c>
      <c r="C154" t="s">
        <v>2181</v>
      </c>
      <c r="D154" s="13">
        <v>7599</v>
      </c>
      <c r="E154" s="13">
        <v>7599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</row>
    <row r="155" spans="1:11" x14ac:dyDescent="0.25">
      <c r="A155" t="s">
        <v>565</v>
      </c>
      <c r="B155" t="s">
        <v>2191</v>
      </c>
      <c r="C155">
        <v>500000</v>
      </c>
      <c r="D155" s="13">
        <v>61160</v>
      </c>
      <c r="E155" s="13">
        <v>21602</v>
      </c>
      <c r="F155" s="13">
        <v>37315</v>
      </c>
      <c r="G155" s="13">
        <v>2243</v>
      </c>
      <c r="H155" s="13">
        <v>0</v>
      </c>
      <c r="I155" s="13">
        <v>0</v>
      </c>
      <c r="J155" s="13">
        <v>0</v>
      </c>
      <c r="K155" s="13">
        <v>0</v>
      </c>
    </row>
    <row r="156" spans="1:11" x14ac:dyDescent="0.25">
      <c r="A156" t="s">
        <v>1920</v>
      </c>
      <c r="B156" t="s">
        <v>2191</v>
      </c>
      <c r="C156">
        <v>0</v>
      </c>
      <c r="D156" s="13">
        <v>7092</v>
      </c>
      <c r="E156" s="13">
        <v>7092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</row>
    <row r="157" spans="1:11" x14ac:dyDescent="0.25">
      <c r="A157" t="s">
        <v>269</v>
      </c>
      <c r="B157" t="s">
        <v>2191</v>
      </c>
      <c r="C157">
        <v>0</v>
      </c>
      <c r="D157" s="13">
        <v>10138</v>
      </c>
      <c r="E157" s="13">
        <v>10138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</row>
    <row r="158" spans="1:11" x14ac:dyDescent="0.25">
      <c r="A158" t="s">
        <v>2015</v>
      </c>
      <c r="B158" t="s">
        <v>2191</v>
      </c>
      <c r="C158">
        <v>0</v>
      </c>
      <c r="D158" s="13">
        <v>2921</v>
      </c>
      <c r="E158" s="13">
        <v>2921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</row>
    <row r="159" spans="1:11" x14ac:dyDescent="0.25">
      <c r="A159" t="s">
        <v>144</v>
      </c>
      <c r="B159" t="s">
        <v>2191</v>
      </c>
      <c r="C159">
        <v>2300000</v>
      </c>
      <c r="D159" s="13">
        <v>337458</v>
      </c>
      <c r="E159" s="13">
        <v>188633</v>
      </c>
      <c r="F159" s="13">
        <v>148825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</row>
    <row r="160" spans="1:11" x14ac:dyDescent="0.25">
      <c r="A160" t="s">
        <v>1688</v>
      </c>
      <c r="B160" t="s">
        <v>2191</v>
      </c>
      <c r="C160">
        <v>0</v>
      </c>
      <c r="D160" s="13">
        <v>7772</v>
      </c>
      <c r="E160" s="13">
        <v>7772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</row>
    <row r="161" spans="1:11" x14ac:dyDescent="0.25">
      <c r="A161" t="s">
        <v>629</v>
      </c>
      <c r="B161" t="s">
        <v>2191</v>
      </c>
      <c r="C161">
        <v>2000000</v>
      </c>
      <c r="D161" s="13">
        <v>54106</v>
      </c>
      <c r="E161" s="13">
        <v>38106</v>
      </c>
      <c r="F161" s="13">
        <v>16000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</row>
    <row r="162" spans="1:11" x14ac:dyDescent="0.25">
      <c r="A162" t="s">
        <v>1676</v>
      </c>
      <c r="B162" t="s">
        <v>2191</v>
      </c>
      <c r="C162">
        <v>0</v>
      </c>
      <c r="D162" s="13">
        <v>9361</v>
      </c>
      <c r="E162" s="13">
        <v>9361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</row>
    <row r="163" spans="1:11" x14ac:dyDescent="0.25">
      <c r="A163" t="s">
        <v>1981</v>
      </c>
      <c r="B163" t="s">
        <v>2191</v>
      </c>
      <c r="C163">
        <v>0</v>
      </c>
      <c r="D163" s="13">
        <v>7061</v>
      </c>
      <c r="E163" s="13">
        <v>7061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</row>
    <row r="164" spans="1:11" x14ac:dyDescent="0.25">
      <c r="A164" t="s">
        <v>1734</v>
      </c>
      <c r="B164" t="s">
        <v>2191</v>
      </c>
      <c r="C164" t="s">
        <v>2181</v>
      </c>
      <c r="D164" s="13">
        <v>6371</v>
      </c>
      <c r="E164" s="13">
        <v>6371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</row>
    <row r="165" spans="1:11" x14ac:dyDescent="0.25">
      <c r="A165" t="s">
        <v>1720</v>
      </c>
      <c r="B165" t="s">
        <v>2191</v>
      </c>
      <c r="C165">
        <v>0</v>
      </c>
      <c r="D165" s="13">
        <v>7349</v>
      </c>
      <c r="E165" s="13">
        <v>7349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</row>
    <row r="166" spans="1:11" x14ac:dyDescent="0.25">
      <c r="A166" t="s">
        <v>2124</v>
      </c>
      <c r="B166" t="s">
        <v>2191</v>
      </c>
      <c r="C166">
        <v>0</v>
      </c>
      <c r="D166" s="13">
        <v>7061</v>
      </c>
      <c r="E166" s="13">
        <v>7061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</row>
    <row r="167" spans="1:11" x14ac:dyDescent="0.25">
      <c r="A167" t="s">
        <v>183</v>
      </c>
      <c r="B167" t="s">
        <v>2191</v>
      </c>
      <c r="C167">
        <v>500000</v>
      </c>
      <c r="D167" s="13">
        <v>19564</v>
      </c>
      <c r="E167" s="13">
        <v>3794</v>
      </c>
      <c r="F167" s="13">
        <v>15770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</row>
    <row r="168" spans="1:11" x14ac:dyDescent="0.25">
      <c r="A168" t="s">
        <v>1671</v>
      </c>
      <c r="B168" t="s">
        <v>2191</v>
      </c>
      <c r="C168">
        <v>2000000</v>
      </c>
      <c r="D168" s="13">
        <v>4383</v>
      </c>
      <c r="E168" s="13">
        <v>4383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</row>
    <row r="169" spans="1:11" x14ac:dyDescent="0.25">
      <c r="A169" t="s">
        <v>1961</v>
      </c>
      <c r="B169" t="s">
        <v>2191</v>
      </c>
      <c r="C169">
        <v>0</v>
      </c>
      <c r="D169" s="13">
        <v>22047</v>
      </c>
      <c r="E169" s="13">
        <v>22047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</row>
    <row r="170" spans="1:11" x14ac:dyDescent="0.25">
      <c r="A170" t="s">
        <v>1756</v>
      </c>
      <c r="B170" t="s">
        <v>2191</v>
      </c>
      <c r="C170">
        <v>0</v>
      </c>
      <c r="D170" s="13">
        <v>4140</v>
      </c>
      <c r="E170" s="13">
        <v>4140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</row>
    <row r="171" spans="1:11" x14ac:dyDescent="0.25">
      <c r="A171" t="s">
        <v>28</v>
      </c>
      <c r="B171" t="s">
        <v>2191</v>
      </c>
      <c r="C171">
        <v>0</v>
      </c>
      <c r="D171" s="13">
        <v>7476</v>
      </c>
      <c r="E171" s="13">
        <v>7476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</row>
    <row r="172" spans="1:11" x14ac:dyDescent="0.25">
      <c r="A172" t="s">
        <v>873</v>
      </c>
      <c r="B172" t="s">
        <v>2191</v>
      </c>
      <c r="C172">
        <v>0</v>
      </c>
      <c r="D172" s="13">
        <v>6389</v>
      </c>
      <c r="E172" s="13">
        <v>0</v>
      </c>
      <c r="F172" s="13">
        <v>0</v>
      </c>
      <c r="G172" s="13">
        <v>6389</v>
      </c>
      <c r="H172" s="13">
        <v>0</v>
      </c>
      <c r="I172" s="13">
        <v>0</v>
      </c>
      <c r="J172" s="13">
        <v>0</v>
      </c>
      <c r="K172" s="13">
        <v>0</v>
      </c>
    </row>
    <row r="173" spans="1:11" x14ac:dyDescent="0.25">
      <c r="A173" t="s">
        <v>2180</v>
      </c>
      <c r="D173" s="13">
        <v>5999071.9199999999</v>
      </c>
      <c r="E173" s="13">
        <v>1766075</v>
      </c>
      <c r="F173" s="13">
        <v>1613375</v>
      </c>
      <c r="G173" s="13">
        <v>580462</v>
      </c>
      <c r="H173" s="13">
        <v>1343826</v>
      </c>
      <c r="I173" s="13">
        <v>497294.4</v>
      </c>
      <c r="J173" s="13">
        <v>198039.52</v>
      </c>
      <c r="K173" s="13">
        <v>2039159.92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3"/>
  <sheetViews>
    <sheetView workbookViewId="0"/>
  </sheetViews>
  <sheetFormatPr defaultRowHeight="12" x14ac:dyDescent="0.2"/>
  <cols>
    <col min="1" max="1" width="18.5703125" style="1" bestFit="1" customWidth="1"/>
    <col min="2" max="2" width="8.5703125" style="1" bestFit="1" customWidth="1"/>
    <col min="3" max="3" width="18.5703125" style="1" bestFit="1" customWidth="1"/>
    <col min="4" max="4" width="8.140625" style="1" bestFit="1" customWidth="1"/>
    <col min="5" max="5" width="35.85546875" style="1" bestFit="1" customWidth="1"/>
    <col min="6" max="6" width="8.42578125" style="1" bestFit="1" customWidth="1"/>
    <col min="7" max="7" width="10.140625" style="3" bestFit="1" customWidth="1"/>
    <col min="8" max="18" width="10.140625" style="3" customWidth="1"/>
    <col min="19" max="19" width="12.140625" style="1" bestFit="1" customWidth="1"/>
    <col min="20" max="20" width="12.7109375" style="1" bestFit="1" customWidth="1"/>
    <col min="21" max="21" width="9.85546875" style="1" bestFit="1" customWidth="1"/>
    <col min="22" max="22" width="8.5703125" style="1" bestFit="1" customWidth="1"/>
    <col min="23" max="23" width="15.140625" style="1" bestFit="1" customWidth="1"/>
    <col min="24" max="24" width="21.7109375" style="1" customWidth="1"/>
    <col min="25" max="25" width="13.140625" style="1" bestFit="1" customWidth="1"/>
    <col min="26" max="16384" width="9.140625" style="1"/>
  </cols>
  <sheetData>
    <row r="1" spans="1:25" s="12" customFormat="1" x14ac:dyDescent="0.2">
      <c r="A1" s="11" t="s">
        <v>2</v>
      </c>
      <c r="B1" s="11" t="s">
        <v>7</v>
      </c>
      <c r="C1" s="11" t="s">
        <v>9</v>
      </c>
      <c r="D1" s="11" t="s">
        <v>0</v>
      </c>
      <c r="E1" s="11" t="s">
        <v>1</v>
      </c>
      <c r="F1" s="11" t="s">
        <v>2179</v>
      </c>
      <c r="G1" s="11" t="s">
        <v>3</v>
      </c>
      <c r="H1" s="11" t="s">
        <v>2167</v>
      </c>
      <c r="I1" s="11" t="s">
        <v>2168</v>
      </c>
      <c r="J1" s="11" t="s">
        <v>2169</v>
      </c>
      <c r="K1" s="11" t="s">
        <v>2170</v>
      </c>
      <c r="L1" s="11" t="s">
        <v>2171</v>
      </c>
      <c r="M1" s="11" t="s">
        <v>2172</v>
      </c>
      <c r="N1" s="11" t="s">
        <v>2173</v>
      </c>
      <c r="O1" s="11" t="s">
        <v>2174</v>
      </c>
      <c r="P1" s="11" t="s">
        <v>2175</v>
      </c>
      <c r="Q1" s="11" t="s">
        <v>2176</v>
      </c>
      <c r="R1" s="11" t="s">
        <v>2177</v>
      </c>
      <c r="S1" s="12" t="s">
        <v>4</v>
      </c>
      <c r="T1" s="12" t="s">
        <v>5</v>
      </c>
      <c r="U1" s="12" t="s">
        <v>6</v>
      </c>
      <c r="V1" s="12" t="s">
        <v>8</v>
      </c>
      <c r="W1" s="12" t="s">
        <v>11</v>
      </c>
      <c r="X1" s="12" t="s">
        <v>12</v>
      </c>
      <c r="Y1" s="12" t="s">
        <v>10</v>
      </c>
    </row>
    <row r="2" spans="1:25" x14ac:dyDescent="0.2">
      <c r="A2" s="9" t="s">
        <v>246</v>
      </c>
      <c r="B2" s="10">
        <v>42735</v>
      </c>
      <c r="C2" s="9" t="s">
        <v>247</v>
      </c>
      <c r="D2" s="9" t="s">
        <v>139</v>
      </c>
      <c r="E2" s="9" t="s">
        <v>2190</v>
      </c>
      <c r="F2" s="9">
        <v>50000</v>
      </c>
      <c r="G2" s="8">
        <v>0.4</v>
      </c>
      <c r="H2" s="4">
        <f t="shared" ref="H2:H19" si="0">IF(O2&lt;=30,G2,0)</f>
        <v>0</v>
      </c>
      <c r="I2" s="4">
        <f t="shared" ref="I2:I19" si="1">IF(AND(O2&gt;30,O2&lt;=45),G2,0)</f>
        <v>0</v>
      </c>
      <c r="J2" s="4">
        <f t="shared" ref="J2:J19" si="2">IF(AND(O2&gt;45,O2&lt;=60),G2,0)</f>
        <v>0</v>
      </c>
      <c r="K2" s="4">
        <f t="shared" ref="K2:K19" si="3">IF(AND(O2&gt;60,O2&lt;=90),G2,0)</f>
        <v>0</v>
      </c>
      <c r="L2" s="4">
        <f t="shared" ref="L2:L19" si="4">IF(AND(O2&gt;90,O2&lt;=120),G2,0)</f>
        <v>0.4</v>
      </c>
      <c r="M2" s="4">
        <f t="shared" ref="M2:M19" si="5">IF(O2&gt;120,G2,0)</f>
        <v>0</v>
      </c>
      <c r="N2" s="4">
        <f t="shared" ref="N2:N19" si="6">IF(O2&gt;60,G2,0)</f>
        <v>0.4</v>
      </c>
      <c r="O2" s="5">
        <f t="shared" ref="O2:O19" si="7">Q2-B2</f>
        <v>120</v>
      </c>
      <c r="P2" s="6" t="str">
        <f t="shared" ref="P2:P19" si="8">IF(AND(O2&lt;=30),"30 Days",IF(AND(O2&gt;30,O2&lt;=45),"31 TO 45 Days",IF(AND(O2&gt;45,O2&lt;=60),"46 To 60 Days",IF(AND(O2&gt;60,O2&lt;=90),"61 To 90 Days",IF(AND(O2&gt;90,O2&lt;=120),"91 To 120 Days",IF(AND(O2&gt;120),"Plus120Days",))))))</f>
        <v>91 To 120 Days</v>
      </c>
      <c r="Q2" s="7">
        <v>42855</v>
      </c>
      <c r="R2" s="6" t="s">
        <v>2178</v>
      </c>
      <c r="Y2" s="1" t="str">
        <f>"413778523"</f>
        <v>413778523</v>
      </c>
    </row>
    <row r="3" spans="1:25" x14ac:dyDescent="0.2">
      <c r="A3" s="9" t="s">
        <v>230</v>
      </c>
      <c r="B3" s="10">
        <v>42733</v>
      </c>
      <c r="C3" s="9" t="s">
        <v>231</v>
      </c>
      <c r="D3" s="9" t="s">
        <v>148</v>
      </c>
      <c r="E3" s="9" t="s">
        <v>2190</v>
      </c>
      <c r="F3" s="9">
        <v>500000</v>
      </c>
      <c r="G3" s="8">
        <v>12.52</v>
      </c>
      <c r="H3" s="4">
        <f t="shared" si="0"/>
        <v>0</v>
      </c>
      <c r="I3" s="4">
        <f t="shared" si="1"/>
        <v>0</v>
      </c>
      <c r="J3" s="4">
        <f t="shared" si="2"/>
        <v>0</v>
      </c>
      <c r="K3" s="4">
        <f t="shared" si="3"/>
        <v>0</v>
      </c>
      <c r="L3" s="4">
        <f t="shared" si="4"/>
        <v>0</v>
      </c>
      <c r="M3" s="4">
        <f t="shared" si="5"/>
        <v>12.52</v>
      </c>
      <c r="N3" s="4">
        <f t="shared" si="6"/>
        <v>12.52</v>
      </c>
      <c r="O3" s="5">
        <f t="shared" si="7"/>
        <v>122</v>
      </c>
      <c r="P3" s="6" t="str">
        <f t="shared" si="8"/>
        <v>Plus120Days</v>
      </c>
      <c r="Q3" s="7">
        <v>42855</v>
      </c>
      <c r="R3" s="6" t="s">
        <v>2178</v>
      </c>
      <c r="Y3" s="1" t="str">
        <f>"4750382397"</f>
        <v>4750382397</v>
      </c>
    </row>
    <row r="4" spans="1:25" x14ac:dyDescent="0.2">
      <c r="A4" s="9" t="s">
        <v>46</v>
      </c>
      <c r="B4" s="10">
        <v>42500</v>
      </c>
      <c r="C4" s="9" t="s">
        <v>47</v>
      </c>
      <c r="D4" s="9" t="s">
        <v>21</v>
      </c>
      <c r="E4" s="9" t="s">
        <v>2190</v>
      </c>
      <c r="F4" s="9">
        <v>0</v>
      </c>
      <c r="G4" s="8">
        <v>34</v>
      </c>
      <c r="H4" s="4">
        <f t="shared" si="0"/>
        <v>0</v>
      </c>
      <c r="I4" s="4">
        <f t="shared" si="1"/>
        <v>0</v>
      </c>
      <c r="J4" s="4">
        <f t="shared" si="2"/>
        <v>0</v>
      </c>
      <c r="K4" s="4">
        <f t="shared" si="3"/>
        <v>0</v>
      </c>
      <c r="L4" s="4">
        <f t="shared" si="4"/>
        <v>0</v>
      </c>
      <c r="M4" s="4">
        <f t="shared" si="5"/>
        <v>34</v>
      </c>
      <c r="N4" s="4">
        <f t="shared" si="6"/>
        <v>34</v>
      </c>
      <c r="O4" s="5">
        <f t="shared" si="7"/>
        <v>355</v>
      </c>
      <c r="P4" s="6" t="str">
        <f t="shared" si="8"/>
        <v>Plus120Days</v>
      </c>
      <c r="Q4" s="7">
        <v>42855</v>
      </c>
      <c r="R4" s="6" t="s">
        <v>2178</v>
      </c>
      <c r="Y4" s="1" t="str">
        <f>"423607358"</f>
        <v>423607358</v>
      </c>
    </row>
    <row r="5" spans="1:25" x14ac:dyDescent="0.2">
      <c r="A5" s="9" t="s">
        <v>77</v>
      </c>
      <c r="B5" s="10">
        <v>42494</v>
      </c>
      <c r="C5" s="9" t="s">
        <v>78</v>
      </c>
      <c r="D5" s="9" t="s">
        <v>21</v>
      </c>
      <c r="E5" s="9" t="s">
        <v>2190</v>
      </c>
      <c r="F5" s="9">
        <v>0</v>
      </c>
      <c r="G5" s="8">
        <v>34</v>
      </c>
      <c r="H5" s="4">
        <f t="shared" si="0"/>
        <v>0</v>
      </c>
      <c r="I5" s="4">
        <f t="shared" si="1"/>
        <v>0</v>
      </c>
      <c r="J5" s="4">
        <f t="shared" si="2"/>
        <v>0</v>
      </c>
      <c r="K5" s="4">
        <f t="shared" si="3"/>
        <v>0</v>
      </c>
      <c r="L5" s="4">
        <f t="shared" si="4"/>
        <v>0</v>
      </c>
      <c r="M5" s="4">
        <f t="shared" si="5"/>
        <v>34</v>
      </c>
      <c r="N5" s="4">
        <f t="shared" si="6"/>
        <v>34</v>
      </c>
      <c r="O5" s="5">
        <f t="shared" si="7"/>
        <v>361</v>
      </c>
      <c r="P5" s="6" t="str">
        <f t="shared" si="8"/>
        <v>Plus120Days</v>
      </c>
      <c r="Q5" s="7">
        <v>42855</v>
      </c>
      <c r="R5" s="6" t="s">
        <v>2178</v>
      </c>
      <c r="Y5" s="1" t="str">
        <f>"4540122913"</f>
        <v>4540122913</v>
      </c>
    </row>
    <row r="6" spans="1:25" x14ac:dyDescent="0.2">
      <c r="A6" s="9" t="s">
        <v>85</v>
      </c>
      <c r="B6" s="10">
        <v>42496</v>
      </c>
      <c r="C6" s="9" t="s">
        <v>86</v>
      </c>
      <c r="D6" s="9" t="s">
        <v>21</v>
      </c>
      <c r="E6" s="9" t="s">
        <v>2190</v>
      </c>
      <c r="F6" s="9">
        <v>0</v>
      </c>
      <c r="G6" s="8">
        <v>34</v>
      </c>
      <c r="H6" s="4">
        <f t="shared" si="0"/>
        <v>0</v>
      </c>
      <c r="I6" s="4">
        <f t="shared" si="1"/>
        <v>0</v>
      </c>
      <c r="J6" s="4">
        <f t="shared" si="2"/>
        <v>0</v>
      </c>
      <c r="K6" s="4">
        <f t="shared" si="3"/>
        <v>0</v>
      </c>
      <c r="L6" s="4">
        <f t="shared" si="4"/>
        <v>0</v>
      </c>
      <c r="M6" s="4">
        <f t="shared" si="5"/>
        <v>34</v>
      </c>
      <c r="N6" s="4">
        <f t="shared" si="6"/>
        <v>34</v>
      </c>
      <c r="O6" s="5">
        <f t="shared" si="7"/>
        <v>359</v>
      </c>
      <c r="P6" s="6" t="str">
        <f t="shared" si="8"/>
        <v>Plus120Days</v>
      </c>
      <c r="Q6" s="7">
        <v>42855</v>
      </c>
      <c r="R6" s="6" t="s">
        <v>2178</v>
      </c>
      <c r="Y6" s="1" t="str">
        <f>"423607305"</f>
        <v>423607305</v>
      </c>
    </row>
    <row r="7" spans="1:25" x14ac:dyDescent="0.2">
      <c r="A7" s="9" t="s">
        <v>91</v>
      </c>
      <c r="B7" s="10">
        <v>42500</v>
      </c>
      <c r="C7" s="9" t="s">
        <v>92</v>
      </c>
      <c r="D7" s="9" t="s">
        <v>21</v>
      </c>
      <c r="E7" s="9" t="s">
        <v>2190</v>
      </c>
      <c r="F7" s="9">
        <v>0</v>
      </c>
      <c r="G7" s="8">
        <v>34</v>
      </c>
      <c r="H7" s="4">
        <f t="shared" si="0"/>
        <v>0</v>
      </c>
      <c r="I7" s="4">
        <f t="shared" si="1"/>
        <v>0</v>
      </c>
      <c r="J7" s="4">
        <f t="shared" si="2"/>
        <v>0</v>
      </c>
      <c r="K7" s="4">
        <f t="shared" si="3"/>
        <v>0</v>
      </c>
      <c r="L7" s="4">
        <f t="shared" si="4"/>
        <v>0</v>
      </c>
      <c r="M7" s="4">
        <f t="shared" si="5"/>
        <v>34</v>
      </c>
      <c r="N7" s="4">
        <f t="shared" si="6"/>
        <v>34</v>
      </c>
      <c r="O7" s="5">
        <f t="shared" si="7"/>
        <v>355</v>
      </c>
      <c r="P7" s="6" t="str">
        <f t="shared" si="8"/>
        <v>Plus120Days</v>
      </c>
      <c r="Q7" s="7">
        <v>42855</v>
      </c>
      <c r="R7" s="6" t="s">
        <v>2178</v>
      </c>
      <c r="Y7" s="1" t="str">
        <f>"423607363"</f>
        <v>423607363</v>
      </c>
    </row>
    <row r="8" spans="1:25" x14ac:dyDescent="0.2">
      <c r="A8" s="9" t="s">
        <v>93</v>
      </c>
      <c r="B8" s="10">
        <v>42500</v>
      </c>
      <c r="C8" s="9" t="s">
        <v>94</v>
      </c>
      <c r="D8" s="9" t="s">
        <v>21</v>
      </c>
      <c r="E8" s="9" t="s">
        <v>2190</v>
      </c>
      <c r="F8" s="9">
        <v>0</v>
      </c>
      <c r="G8" s="8">
        <v>34</v>
      </c>
      <c r="H8" s="4">
        <f t="shared" si="0"/>
        <v>0</v>
      </c>
      <c r="I8" s="4">
        <f t="shared" si="1"/>
        <v>0</v>
      </c>
      <c r="J8" s="4">
        <f t="shared" si="2"/>
        <v>0</v>
      </c>
      <c r="K8" s="4">
        <f t="shared" si="3"/>
        <v>0</v>
      </c>
      <c r="L8" s="4">
        <f t="shared" si="4"/>
        <v>0</v>
      </c>
      <c r="M8" s="4">
        <f t="shared" si="5"/>
        <v>34</v>
      </c>
      <c r="N8" s="4">
        <f t="shared" si="6"/>
        <v>34</v>
      </c>
      <c r="O8" s="5">
        <f t="shared" si="7"/>
        <v>355</v>
      </c>
      <c r="P8" s="6" t="str">
        <f t="shared" si="8"/>
        <v>Plus120Days</v>
      </c>
      <c r="Q8" s="7">
        <v>42855</v>
      </c>
      <c r="R8" s="6" t="s">
        <v>2178</v>
      </c>
      <c r="Y8" s="1" t="str">
        <f>"423607351"</f>
        <v>423607351</v>
      </c>
    </row>
    <row r="9" spans="1:25" x14ac:dyDescent="0.2">
      <c r="A9" s="9" t="s">
        <v>111</v>
      </c>
      <c r="B9" s="10">
        <v>42507</v>
      </c>
      <c r="C9" s="9" t="s">
        <v>112</v>
      </c>
      <c r="D9" s="9" t="s">
        <v>21</v>
      </c>
      <c r="E9" s="9" t="s">
        <v>2190</v>
      </c>
      <c r="F9" s="9">
        <v>0</v>
      </c>
      <c r="G9" s="8">
        <v>34</v>
      </c>
      <c r="H9" s="4">
        <f t="shared" si="0"/>
        <v>0</v>
      </c>
      <c r="I9" s="4">
        <f t="shared" si="1"/>
        <v>0</v>
      </c>
      <c r="J9" s="4">
        <f t="shared" si="2"/>
        <v>0</v>
      </c>
      <c r="K9" s="4">
        <f t="shared" si="3"/>
        <v>0</v>
      </c>
      <c r="L9" s="4">
        <f t="shared" si="4"/>
        <v>0</v>
      </c>
      <c r="M9" s="4">
        <f t="shared" si="5"/>
        <v>34</v>
      </c>
      <c r="N9" s="4">
        <f t="shared" si="6"/>
        <v>34</v>
      </c>
      <c r="O9" s="5">
        <f t="shared" si="7"/>
        <v>348</v>
      </c>
      <c r="P9" s="6" t="str">
        <f t="shared" si="8"/>
        <v>Plus120Days</v>
      </c>
      <c r="Q9" s="7">
        <v>42855</v>
      </c>
      <c r="R9" s="6" t="s">
        <v>2178</v>
      </c>
      <c r="Y9" s="1" t="str">
        <f>"423607394"</f>
        <v>423607394</v>
      </c>
    </row>
    <row r="10" spans="1:25" x14ac:dyDescent="0.2">
      <c r="A10" s="9" t="s">
        <v>117</v>
      </c>
      <c r="B10" s="10">
        <v>42509</v>
      </c>
      <c r="C10" s="9" t="s">
        <v>118</v>
      </c>
      <c r="D10" s="9" t="s">
        <v>21</v>
      </c>
      <c r="E10" s="9" t="s">
        <v>2190</v>
      </c>
      <c r="F10" s="9">
        <v>0</v>
      </c>
      <c r="G10" s="8">
        <v>34</v>
      </c>
      <c r="H10" s="4">
        <f t="shared" si="0"/>
        <v>0</v>
      </c>
      <c r="I10" s="4">
        <f t="shared" si="1"/>
        <v>0</v>
      </c>
      <c r="J10" s="4">
        <f t="shared" si="2"/>
        <v>0</v>
      </c>
      <c r="K10" s="4">
        <f t="shared" si="3"/>
        <v>0</v>
      </c>
      <c r="L10" s="4">
        <f t="shared" si="4"/>
        <v>0</v>
      </c>
      <c r="M10" s="4">
        <f t="shared" si="5"/>
        <v>34</v>
      </c>
      <c r="N10" s="4">
        <f t="shared" si="6"/>
        <v>34</v>
      </c>
      <c r="O10" s="5">
        <f t="shared" si="7"/>
        <v>346</v>
      </c>
      <c r="P10" s="6" t="str">
        <f t="shared" si="8"/>
        <v>Plus120Days</v>
      </c>
      <c r="Q10" s="7">
        <v>42855</v>
      </c>
      <c r="R10" s="6" t="s">
        <v>2178</v>
      </c>
      <c r="Y10" s="1" t="str">
        <f>"423607379"</f>
        <v>423607379</v>
      </c>
    </row>
    <row r="11" spans="1:25" x14ac:dyDescent="0.2">
      <c r="A11" s="9" t="s">
        <v>121</v>
      </c>
      <c r="B11" s="10">
        <v>42510</v>
      </c>
      <c r="C11" s="9" t="s">
        <v>122</v>
      </c>
      <c r="D11" s="9" t="s">
        <v>21</v>
      </c>
      <c r="E11" s="9" t="s">
        <v>2190</v>
      </c>
      <c r="F11" s="9">
        <v>0</v>
      </c>
      <c r="G11" s="8">
        <v>34</v>
      </c>
      <c r="H11" s="4">
        <f t="shared" si="0"/>
        <v>0</v>
      </c>
      <c r="I11" s="4">
        <f t="shared" si="1"/>
        <v>0</v>
      </c>
      <c r="J11" s="4">
        <f t="shared" si="2"/>
        <v>0</v>
      </c>
      <c r="K11" s="4">
        <f t="shared" si="3"/>
        <v>0</v>
      </c>
      <c r="L11" s="4">
        <f t="shared" si="4"/>
        <v>0</v>
      </c>
      <c r="M11" s="4">
        <f t="shared" si="5"/>
        <v>34</v>
      </c>
      <c r="N11" s="4">
        <f t="shared" si="6"/>
        <v>34</v>
      </c>
      <c r="O11" s="5">
        <f t="shared" si="7"/>
        <v>345</v>
      </c>
      <c r="P11" s="6" t="str">
        <f t="shared" si="8"/>
        <v>Plus120Days</v>
      </c>
      <c r="Q11" s="7">
        <v>42855</v>
      </c>
      <c r="R11" s="6" t="s">
        <v>2178</v>
      </c>
      <c r="Y11" s="1" t="str">
        <f>"4431541669"</f>
        <v>4431541669</v>
      </c>
    </row>
    <row r="12" spans="1:25" x14ac:dyDescent="0.2">
      <c r="A12" s="9" t="s">
        <v>119</v>
      </c>
      <c r="B12" s="10">
        <v>42509</v>
      </c>
      <c r="C12" s="9" t="s">
        <v>120</v>
      </c>
      <c r="D12" s="9" t="s">
        <v>21</v>
      </c>
      <c r="E12" s="9" t="s">
        <v>2190</v>
      </c>
      <c r="F12" s="9">
        <v>0</v>
      </c>
      <c r="G12" s="8">
        <v>63</v>
      </c>
      <c r="H12" s="4">
        <f t="shared" si="0"/>
        <v>0</v>
      </c>
      <c r="I12" s="4">
        <f t="shared" si="1"/>
        <v>0</v>
      </c>
      <c r="J12" s="4">
        <f t="shared" si="2"/>
        <v>0</v>
      </c>
      <c r="K12" s="4">
        <f t="shared" si="3"/>
        <v>0</v>
      </c>
      <c r="L12" s="4">
        <f t="shared" si="4"/>
        <v>0</v>
      </c>
      <c r="M12" s="4">
        <f t="shared" si="5"/>
        <v>63</v>
      </c>
      <c r="N12" s="4">
        <f t="shared" si="6"/>
        <v>63</v>
      </c>
      <c r="O12" s="5">
        <f t="shared" si="7"/>
        <v>346</v>
      </c>
      <c r="P12" s="6" t="str">
        <f t="shared" si="8"/>
        <v>Plus120Days</v>
      </c>
      <c r="Q12" s="7">
        <v>42855</v>
      </c>
      <c r="R12" s="6" t="s">
        <v>2178</v>
      </c>
      <c r="Y12" s="1" t="str">
        <f>"4540123111"</f>
        <v>4540123111</v>
      </c>
    </row>
    <row r="13" spans="1:25" x14ac:dyDescent="0.2">
      <c r="A13" s="9" t="s">
        <v>857</v>
      </c>
      <c r="B13" s="10">
        <v>42795</v>
      </c>
      <c r="C13" s="9" t="str">
        <f>"112906998"</f>
        <v>112906998</v>
      </c>
      <c r="D13" s="9" t="s">
        <v>856</v>
      </c>
      <c r="E13" s="9" t="s">
        <v>2190</v>
      </c>
      <c r="F13" s="9">
        <v>100000</v>
      </c>
      <c r="G13" s="8">
        <v>67</v>
      </c>
      <c r="H13" s="4">
        <f t="shared" si="0"/>
        <v>0</v>
      </c>
      <c r="I13" s="4">
        <f t="shared" si="1"/>
        <v>0</v>
      </c>
      <c r="J13" s="4">
        <f t="shared" si="2"/>
        <v>67</v>
      </c>
      <c r="K13" s="4">
        <f t="shared" si="3"/>
        <v>0</v>
      </c>
      <c r="L13" s="4">
        <f t="shared" si="4"/>
        <v>0</v>
      </c>
      <c r="M13" s="4">
        <f t="shared" si="5"/>
        <v>0</v>
      </c>
      <c r="N13" s="4">
        <f t="shared" si="6"/>
        <v>0</v>
      </c>
      <c r="O13" s="5">
        <f t="shared" si="7"/>
        <v>60</v>
      </c>
      <c r="P13" s="6" t="str">
        <f t="shared" si="8"/>
        <v>46 To 60 Days</v>
      </c>
      <c r="Q13" s="7">
        <v>42855</v>
      </c>
      <c r="R13" s="6" t="s">
        <v>2178</v>
      </c>
    </row>
    <row r="14" spans="1:25" x14ac:dyDescent="0.2">
      <c r="A14" s="9" t="s">
        <v>113</v>
      </c>
      <c r="B14" s="10">
        <v>42507</v>
      </c>
      <c r="C14" s="9" t="s">
        <v>114</v>
      </c>
      <c r="D14" s="9" t="s">
        <v>21</v>
      </c>
      <c r="E14" s="9" t="s">
        <v>2190</v>
      </c>
      <c r="F14" s="9">
        <v>0</v>
      </c>
      <c r="G14" s="8">
        <v>68</v>
      </c>
      <c r="H14" s="4">
        <f t="shared" si="0"/>
        <v>0</v>
      </c>
      <c r="I14" s="4">
        <f t="shared" si="1"/>
        <v>0</v>
      </c>
      <c r="J14" s="4">
        <f t="shared" si="2"/>
        <v>0</v>
      </c>
      <c r="K14" s="4">
        <f t="shared" si="3"/>
        <v>0</v>
      </c>
      <c r="L14" s="4">
        <f t="shared" si="4"/>
        <v>0</v>
      </c>
      <c r="M14" s="4">
        <f t="shared" si="5"/>
        <v>68</v>
      </c>
      <c r="N14" s="4">
        <f t="shared" si="6"/>
        <v>68</v>
      </c>
      <c r="O14" s="5">
        <f t="shared" si="7"/>
        <v>348</v>
      </c>
      <c r="P14" s="6" t="str">
        <f t="shared" si="8"/>
        <v>Plus120Days</v>
      </c>
      <c r="Q14" s="7">
        <v>42855</v>
      </c>
      <c r="R14" s="6" t="s">
        <v>2178</v>
      </c>
      <c r="Y14" s="1" t="str">
        <f>"423607403"</f>
        <v>423607403</v>
      </c>
    </row>
    <row r="15" spans="1:25" x14ac:dyDescent="0.2">
      <c r="A15" s="9" t="s">
        <v>75</v>
      </c>
      <c r="B15" s="10">
        <v>42494</v>
      </c>
      <c r="C15" s="9" t="s">
        <v>76</v>
      </c>
      <c r="D15" s="9" t="s">
        <v>21</v>
      </c>
      <c r="E15" s="9" t="s">
        <v>2190</v>
      </c>
      <c r="F15" s="9">
        <v>0</v>
      </c>
      <c r="G15" s="8">
        <v>70</v>
      </c>
      <c r="H15" s="4">
        <f t="shared" si="0"/>
        <v>0</v>
      </c>
      <c r="I15" s="4">
        <f t="shared" si="1"/>
        <v>0</v>
      </c>
      <c r="J15" s="4">
        <f t="shared" si="2"/>
        <v>0</v>
      </c>
      <c r="K15" s="4">
        <f t="shared" si="3"/>
        <v>0</v>
      </c>
      <c r="L15" s="4">
        <f t="shared" si="4"/>
        <v>0</v>
      </c>
      <c r="M15" s="4">
        <f t="shared" si="5"/>
        <v>70</v>
      </c>
      <c r="N15" s="4">
        <f t="shared" si="6"/>
        <v>70</v>
      </c>
      <c r="O15" s="5">
        <f t="shared" si="7"/>
        <v>361</v>
      </c>
      <c r="P15" s="6" t="str">
        <f t="shared" si="8"/>
        <v>Plus120Days</v>
      </c>
      <c r="Q15" s="7">
        <v>42855</v>
      </c>
      <c r="R15" s="6" t="s">
        <v>2178</v>
      </c>
      <c r="Y15" s="1" t="str">
        <f>"423607314"</f>
        <v>423607314</v>
      </c>
    </row>
    <row r="16" spans="1:25" x14ac:dyDescent="0.2">
      <c r="A16" s="9" t="s">
        <v>107</v>
      </c>
      <c r="B16" s="10">
        <v>42507</v>
      </c>
      <c r="C16" s="9" t="s">
        <v>108</v>
      </c>
      <c r="D16" s="9" t="s">
        <v>21</v>
      </c>
      <c r="E16" s="9" t="s">
        <v>2190</v>
      </c>
      <c r="F16" s="9">
        <v>0</v>
      </c>
      <c r="G16" s="8">
        <v>71</v>
      </c>
      <c r="H16" s="4">
        <f t="shared" si="0"/>
        <v>0</v>
      </c>
      <c r="I16" s="4">
        <f t="shared" si="1"/>
        <v>0</v>
      </c>
      <c r="J16" s="4">
        <f t="shared" si="2"/>
        <v>0</v>
      </c>
      <c r="K16" s="4">
        <f t="shared" si="3"/>
        <v>0</v>
      </c>
      <c r="L16" s="4">
        <f t="shared" si="4"/>
        <v>0</v>
      </c>
      <c r="M16" s="4">
        <f t="shared" si="5"/>
        <v>71</v>
      </c>
      <c r="N16" s="4">
        <f t="shared" si="6"/>
        <v>71</v>
      </c>
      <c r="O16" s="5">
        <f t="shared" si="7"/>
        <v>348</v>
      </c>
      <c r="P16" s="6" t="str">
        <f t="shared" si="8"/>
        <v>Plus120Days</v>
      </c>
      <c r="Q16" s="7">
        <v>42855</v>
      </c>
      <c r="R16" s="6" t="s">
        <v>2178</v>
      </c>
      <c r="Y16" s="1" t="str">
        <f>"423607399"</f>
        <v>423607399</v>
      </c>
    </row>
    <row r="17" spans="1:25" x14ac:dyDescent="0.2">
      <c r="A17" s="9" t="s">
        <v>83</v>
      </c>
      <c r="B17" s="10">
        <v>42496</v>
      </c>
      <c r="C17" s="9" t="s">
        <v>84</v>
      </c>
      <c r="D17" s="9" t="s">
        <v>21</v>
      </c>
      <c r="E17" s="9" t="s">
        <v>2190</v>
      </c>
      <c r="F17" s="9">
        <v>0</v>
      </c>
      <c r="G17" s="8">
        <v>86</v>
      </c>
      <c r="H17" s="4">
        <f t="shared" si="0"/>
        <v>0</v>
      </c>
      <c r="I17" s="4">
        <f t="shared" si="1"/>
        <v>0</v>
      </c>
      <c r="J17" s="4">
        <f t="shared" si="2"/>
        <v>0</v>
      </c>
      <c r="K17" s="4">
        <f t="shared" si="3"/>
        <v>0</v>
      </c>
      <c r="L17" s="4">
        <f t="shared" si="4"/>
        <v>0</v>
      </c>
      <c r="M17" s="4">
        <f t="shared" si="5"/>
        <v>86</v>
      </c>
      <c r="N17" s="4">
        <f t="shared" si="6"/>
        <v>86</v>
      </c>
      <c r="O17" s="5">
        <f t="shared" si="7"/>
        <v>359</v>
      </c>
      <c r="P17" s="6" t="str">
        <f t="shared" si="8"/>
        <v>Plus120Days</v>
      </c>
      <c r="Q17" s="7">
        <v>42855</v>
      </c>
      <c r="R17" s="6" t="s">
        <v>2178</v>
      </c>
      <c r="Y17" s="1" t="str">
        <f>"4395669261"</f>
        <v>4395669261</v>
      </c>
    </row>
    <row r="18" spans="1:25" x14ac:dyDescent="0.2">
      <c r="A18" s="9" t="s">
        <v>97</v>
      </c>
      <c r="B18" s="10">
        <v>42502</v>
      </c>
      <c r="C18" s="9" t="s">
        <v>98</v>
      </c>
      <c r="D18" s="9" t="s">
        <v>21</v>
      </c>
      <c r="E18" s="9" t="s">
        <v>2190</v>
      </c>
      <c r="F18" s="9">
        <v>0</v>
      </c>
      <c r="G18" s="8">
        <v>86</v>
      </c>
      <c r="H18" s="4">
        <f t="shared" si="0"/>
        <v>0</v>
      </c>
      <c r="I18" s="4">
        <f t="shared" si="1"/>
        <v>0</v>
      </c>
      <c r="J18" s="4">
        <f t="shared" si="2"/>
        <v>0</v>
      </c>
      <c r="K18" s="4">
        <f t="shared" si="3"/>
        <v>0</v>
      </c>
      <c r="L18" s="4">
        <f t="shared" si="4"/>
        <v>0</v>
      </c>
      <c r="M18" s="4">
        <f t="shared" si="5"/>
        <v>86</v>
      </c>
      <c r="N18" s="4">
        <f t="shared" si="6"/>
        <v>86</v>
      </c>
      <c r="O18" s="5">
        <f t="shared" si="7"/>
        <v>353</v>
      </c>
      <c r="P18" s="6" t="str">
        <f t="shared" si="8"/>
        <v>Plus120Days</v>
      </c>
      <c r="Q18" s="7">
        <v>42855</v>
      </c>
      <c r="R18" s="6" t="s">
        <v>2178</v>
      </c>
      <c r="Y18" s="1" t="str">
        <f>"422502526"</f>
        <v>422502526</v>
      </c>
    </row>
    <row r="19" spans="1:25" x14ac:dyDescent="0.2">
      <c r="A19" s="9" t="s">
        <v>103</v>
      </c>
      <c r="B19" s="10">
        <v>42507</v>
      </c>
      <c r="C19" s="9" t="s">
        <v>104</v>
      </c>
      <c r="D19" s="9" t="s">
        <v>21</v>
      </c>
      <c r="E19" s="9" t="s">
        <v>2190</v>
      </c>
      <c r="F19" s="9">
        <v>0</v>
      </c>
      <c r="G19" s="8">
        <v>86</v>
      </c>
      <c r="H19" s="4">
        <f t="shared" si="0"/>
        <v>0</v>
      </c>
      <c r="I19" s="4">
        <f t="shared" si="1"/>
        <v>0</v>
      </c>
      <c r="J19" s="4">
        <f t="shared" si="2"/>
        <v>0</v>
      </c>
      <c r="K19" s="4">
        <f t="shared" si="3"/>
        <v>0</v>
      </c>
      <c r="L19" s="4">
        <f t="shared" si="4"/>
        <v>0</v>
      </c>
      <c r="M19" s="4">
        <f t="shared" si="5"/>
        <v>86</v>
      </c>
      <c r="N19" s="4">
        <f t="shared" si="6"/>
        <v>86</v>
      </c>
      <c r="O19" s="5">
        <f t="shared" si="7"/>
        <v>348</v>
      </c>
      <c r="P19" s="6" t="str">
        <f t="shared" si="8"/>
        <v>Plus120Days</v>
      </c>
      <c r="Q19" s="7">
        <v>42855</v>
      </c>
      <c r="R19" s="6" t="s">
        <v>2178</v>
      </c>
      <c r="Y19" s="1" t="str">
        <f>"4580105962"</f>
        <v>4580105962</v>
      </c>
    </row>
    <row r="20" spans="1:25" x14ac:dyDescent="0.2">
      <c r="A20" s="9" t="s">
        <v>24</v>
      </c>
      <c r="B20" s="10">
        <v>42500</v>
      </c>
      <c r="C20" s="9" t="s">
        <v>25</v>
      </c>
      <c r="D20" s="9" t="s">
        <v>21</v>
      </c>
      <c r="E20" s="9" t="s">
        <v>2190</v>
      </c>
      <c r="F20" s="9">
        <v>0</v>
      </c>
      <c r="G20" s="8">
        <v>94</v>
      </c>
      <c r="H20" s="4">
        <f t="shared" ref="H20:H32" si="9">IF(O20&lt;=30,G20,0)</f>
        <v>0</v>
      </c>
      <c r="I20" s="4">
        <f t="shared" ref="I20:I32" si="10">IF(AND(O20&gt;30,O20&lt;=45),G20,0)</f>
        <v>0</v>
      </c>
      <c r="J20" s="4">
        <f t="shared" ref="J20:J32" si="11">IF(AND(O20&gt;45,O20&lt;=60),G20,0)</f>
        <v>0</v>
      </c>
      <c r="K20" s="4">
        <f t="shared" ref="K20:K32" si="12">IF(AND(O20&gt;60,O20&lt;=90),G20,0)</f>
        <v>0</v>
      </c>
      <c r="L20" s="4">
        <f t="shared" ref="L20:L32" si="13">IF(AND(O20&gt;90,O20&lt;=120),G20,0)</f>
        <v>0</v>
      </c>
      <c r="M20" s="4">
        <f t="shared" ref="M20:M32" si="14">IF(O20&gt;120,G20,0)</f>
        <v>94</v>
      </c>
      <c r="N20" s="4">
        <f t="shared" ref="N20:N32" si="15">IF(O20&gt;60,G20,0)</f>
        <v>94</v>
      </c>
      <c r="O20" s="5">
        <f t="shared" ref="O20:O32" si="16">Q20-B20</f>
        <v>355</v>
      </c>
      <c r="P20" s="6" t="str">
        <f t="shared" ref="P20:P32" si="17">IF(AND(O20&lt;=30),"30 Days",IF(AND(O20&gt;30,O20&lt;=45),"31 TO 45 Days",IF(AND(O20&gt;45,O20&lt;=60),"46 To 60 Days",IF(AND(O20&gt;60,O20&lt;=90),"61 To 90 Days",IF(AND(O20&gt;90,O20&lt;=120),"91 To 120 Days",IF(AND(O20&gt;120),"Plus120Days",))))))</f>
        <v>Plus120Days</v>
      </c>
      <c r="Q20" s="7">
        <v>42855</v>
      </c>
      <c r="R20" s="6" t="s">
        <v>2178</v>
      </c>
      <c r="Y20" s="1" t="str">
        <f>"423607355"</f>
        <v>423607355</v>
      </c>
    </row>
    <row r="21" spans="1:25" x14ac:dyDescent="0.2">
      <c r="A21" s="9" t="s">
        <v>71</v>
      </c>
      <c r="B21" s="10">
        <v>42494</v>
      </c>
      <c r="C21" s="9" t="s">
        <v>72</v>
      </c>
      <c r="D21" s="9" t="s">
        <v>21</v>
      </c>
      <c r="E21" s="9" t="s">
        <v>2190</v>
      </c>
      <c r="F21" s="9">
        <v>0</v>
      </c>
      <c r="G21" s="8">
        <v>115</v>
      </c>
      <c r="H21" s="4">
        <f t="shared" si="9"/>
        <v>0</v>
      </c>
      <c r="I21" s="4">
        <f t="shared" si="10"/>
        <v>0</v>
      </c>
      <c r="J21" s="4">
        <f t="shared" si="11"/>
        <v>0</v>
      </c>
      <c r="K21" s="4">
        <f t="shared" si="12"/>
        <v>0</v>
      </c>
      <c r="L21" s="4">
        <f t="shared" si="13"/>
        <v>0</v>
      </c>
      <c r="M21" s="4">
        <f t="shared" si="14"/>
        <v>115</v>
      </c>
      <c r="N21" s="4">
        <f t="shared" si="15"/>
        <v>115</v>
      </c>
      <c r="O21" s="5">
        <f t="shared" si="16"/>
        <v>361</v>
      </c>
      <c r="P21" s="6" t="str">
        <f t="shared" si="17"/>
        <v>Plus120Days</v>
      </c>
      <c r="Q21" s="7">
        <v>42855</v>
      </c>
      <c r="R21" s="6" t="s">
        <v>2178</v>
      </c>
      <c r="Y21" s="1" t="str">
        <f>"4580105898"</f>
        <v>4580105898</v>
      </c>
    </row>
    <row r="22" spans="1:25" x14ac:dyDescent="0.2">
      <c r="A22" s="9" t="s">
        <v>65</v>
      </c>
      <c r="B22" s="10">
        <v>42494</v>
      </c>
      <c r="C22" s="9" t="s">
        <v>66</v>
      </c>
      <c r="D22" s="9" t="s">
        <v>21</v>
      </c>
      <c r="E22" s="9" t="s">
        <v>2190</v>
      </c>
      <c r="F22" s="9">
        <v>0</v>
      </c>
      <c r="G22" s="8">
        <v>129</v>
      </c>
      <c r="H22" s="4">
        <f t="shared" si="9"/>
        <v>0</v>
      </c>
      <c r="I22" s="4">
        <f t="shared" si="10"/>
        <v>0</v>
      </c>
      <c r="J22" s="4">
        <f t="shared" si="11"/>
        <v>0</v>
      </c>
      <c r="K22" s="4">
        <f t="shared" si="12"/>
        <v>0</v>
      </c>
      <c r="L22" s="4">
        <f t="shared" si="13"/>
        <v>0</v>
      </c>
      <c r="M22" s="4">
        <f t="shared" si="14"/>
        <v>129</v>
      </c>
      <c r="N22" s="4">
        <f t="shared" si="15"/>
        <v>129</v>
      </c>
      <c r="O22" s="5">
        <f t="shared" si="16"/>
        <v>361</v>
      </c>
      <c r="P22" s="6" t="str">
        <f t="shared" si="17"/>
        <v>Plus120Days</v>
      </c>
      <c r="Q22" s="7">
        <v>42855</v>
      </c>
      <c r="R22" s="6" t="s">
        <v>2178</v>
      </c>
      <c r="Y22" s="1" t="str">
        <f>"414430070"</f>
        <v>414430070</v>
      </c>
    </row>
    <row r="23" spans="1:25" x14ac:dyDescent="0.2">
      <c r="A23" s="9" t="s">
        <v>59</v>
      </c>
      <c r="B23" s="10">
        <v>42493</v>
      </c>
      <c r="C23" s="9" t="s">
        <v>60</v>
      </c>
      <c r="D23" s="9" t="s">
        <v>21</v>
      </c>
      <c r="E23" s="9" t="s">
        <v>2190</v>
      </c>
      <c r="F23" s="9">
        <v>0</v>
      </c>
      <c r="G23" s="8">
        <v>140</v>
      </c>
      <c r="H23" s="4">
        <f t="shared" si="9"/>
        <v>0</v>
      </c>
      <c r="I23" s="4">
        <f t="shared" si="10"/>
        <v>0</v>
      </c>
      <c r="J23" s="4">
        <f t="shared" si="11"/>
        <v>0</v>
      </c>
      <c r="K23" s="4">
        <f t="shared" si="12"/>
        <v>0</v>
      </c>
      <c r="L23" s="4">
        <f t="shared" si="13"/>
        <v>0</v>
      </c>
      <c r="M23" s="4">
        <f t="shared" si="14"/>
        <v>140</v>
      </c>
      <c r="N23" s="4">
        <f t="shared" si="15"/>
        <v>140</v>
      </c>
      <c r="O23" s="5">
        <f t="shared" si="16"/>
        <v>362</v>
      </c>
      <c r="P23" s="6" t="str">
        <f t="shared" si="17"/>
        <v>Plus120Days</v>
      </c>
      <c r="Q23" s="7">
        <v>42855</v>
      </c>
      <c r="R23" s="6" t="s">
        <v>2178</v>
      </c>
      <c r="Y23" s="1" t="str">
        <f>"4060559552"</f>
        <v>4060559552</v>
      </c>
    </row>
    <row r="24" spans="1:25" x14ac:dyDescent="0.2">
      <c r="A24" s="9" t="s">
        <v>89</v>
      </c>
      <c r="B24" s="10">
        <v>42500</v>
      </c>
      <c r="C24" s="9" t="s">
        <v>90</v>
      </c>
      <c r="D24" s="9" t="s">
        <v>21</v>
      </c>
      <c r="E24" s="9" t="s">
        <v>2190</v>
      </c>
      <c r="F24" s="9">
        <v>0</v>
      </c>
      <c r="G24" s="8">
        <v>142</v>
      </c>
      <c r="H24" s="4">
        <f t="shared" si="9"/>
        <v>0</v>
      </c>
      <c r="I24" s="4">
        <f t="shared" si="10"/>
        <v>0</v>
      </c>
      <c r="J24" s="4">
        <f t="shared" si="11"/>
        <v>0</v>
      </c>
      <c r="K24" s="4">
        <f t="shared" si="12"/>
        <v>0</v>
      </c>
      <c r="L24" s="4">
        <f t="shared" si="13"/>
        <v>0</v>
      </c>
      <c r="M24" s="4">
        <f t="shared" si="14"/>
        <v>142</v>
      </c>
      <c r="N24" s="4">
        <f t="shared" si="15"/>
        <v>142</v>
      </c>
      <c r="O24" s="5">
        <f t="shared" si="16"/>
        <v>355</v>
      </c>
      <c r="P24" s="6" t="str">
        <f t="shared" si="17"/>
        <v>Plus120Days</v>
      </c>
      <c r="Q24" s="7">
        <v>42855</v>
      </c>
      <c r="R24" s="6" t="s">
        <v>2178</v>
      </c>
      <c r="Y24" s="1" t="str">
        <f>"423607349"</f>
        <v>423607349</v>
      </c>
    </row>
    <row r="25" spans="1:25" x14ac:dyDescent="0.2">
      <c r="A25" s="9" t="s">
        <v>130</v>
      </c>
      <c r="B25" s="10">
        <v>42514</v>
      </c>
      <c r="C25" s="9" t="s">
        <v>131</v>
      </c>
      <c r="D25" s="9" t="s">
        <v>21</v>
      </c>
      <c r="E25" s="9" t="s">
        <v>2190</v>
      </c>
      <c r="F25" s="9">
        <v>0</v>
      </c>
      <c r="G25" s="8">
        <v>143</v>
      </c>
      <c r="H25" s="4">
        <f t="shared" si="9"/>
        <v>0</v>
      </c>
      <c r="I25" s="4">
        <f t="shared" si="10"/>
        <v>0</v>
      </c>
      <c r="J25" s="4">
        <f t="shared" si="11"/>
        <v>0</v>
      </c>
      <c r="K25" s="4">
        <f t="shared" si="12"/>
        <v>0</v>
      </c>
      <c r="L25" s="4">
        <f t="shared" si="13"/>
        <v>0</v>
      </c>
      <c r="M25" s="4">
        <f t="shared" si="14"/>
        <v>143</v>
      </c>
      <c r="N25" s="4">
        <f t="shared" si="15"/>
        <v>143</v>
      </c>
      <c r="O25" s="5">
        <f t="shared" si="16"/>
        <v>341</v>
      </c>
      <c r="P25" s="6" t="str">
        <f t="shared" si="17"/>
        <v>Plus120Days</v>
      </c>
      <c r="Q25" s="7">
        <v>42855</v>
      </c>
      <c r="R25" s="6" t="s">
        <v>2178</v>
      </c>
      <c r="Y25" s="1" t="str">
        <f>"423607450"</f>
        <v>423607450</v>
      </c>
    </row>
    <row r="26" spans="1:25" x14ac:dyDescent="0.2">
      <c r="A26" s="9" t="s">
        <v>1264</v>
      </c>
      <c r="B26" s="10">
        <v>42818</v>
      </c>
      <c r="C26" s="9" t="str">
        <f>"112907000"</f>
        <v>112907000</v>
      </c>
      <c r="D26" s="9" t="s">
        <v>856</v>
      </c>
      <c r="E26" s="9" t="s">
        <v>2190</v>
      </c>
      <c r="F26" s="9">
        <v>100000</v>
      </c>
      <c r="G26" s="8">
        <v>161</v>
      </c>
      <c r="H26" s="4">
        <f t="shared" si="9"/>
        <v>0</v>
      </c>
      <c r="I26" s="4">
        <f t="shared" si="10"/>
        <v>161</v>
      </c>
      <c r="J26" s="4">
        <f t="shared" si="11"/>
        <v>0</v>
      </c>
      <c r="K26" s="4">
        <f t="shared" si="12"/>
        <v>0</v>
      </c>
      <c r="L26" s="4">
        <f t="shared" si="13"/>
        <v>0</v>
      </c>
      <c r="M26" s="4">
        <f t="shared" si="14"/>
        <v>0</v>
      </c>
      <c r="N26" s="4">
        <f t="shared" si="15"/>
        <v>0</v>
      </c>
      <c r="O26" s="5">
        <f t="shared" si="16"/>
        <v>37</v>
      </c>
      <c r="P26" s="6" t="str">
        <f t="shared" si="17"/>
        <v>31 TO 45 Days</v>
      </c>
      <c r="Q26" s="7">
        <v>42855</v>
      </c>
      <c r="R26" s="6" t="s">
        <v>2178</v>
      </c>
    </row>
    <row r="27" spans="1:25" x14ac:dyDescent="0.2">
      <c r="A27" s="9" t="s">
        <v>63</v>
      </c>
      <c r="B27" s="10">
        <v>42493</v>
      </c>
      <c r="C27" s="9" t="s">
        <v>64</v>
      </c>
      <c r="D27" s="9" t="s">
        <v>21</v>
      </c>
      <c r="E27" s="9" t="s">
        <v>2190</v>
      </c>
      <c r="F27" s="9">
        <v>0</v>
      </c>
      <c r="G27" s="8">
        <v>161</v>
      </c>
      <c r="H27" s="4">
        <f t="shared" si="9"/>
        <v>0</v>
      </c>
      <c r="I27" s="4">
        <f t="shared" si="10"/>
        <v>0</v>
      </c>
      <c r="J27" s="4">
        <f t="shared" si="11"/>
        <v>0</v>
      </c>
      <c r="K27" s="4">
        <f t="shared" si="12"/>
        <v>0</v>
      </c>
      <c r="L27" s="4">
        <f t="shared" si="13"/>
        <v>0</v>
      </c>
      <c r="M27" s="4">
        <f t="shared" si="14"/>
        <v>161</v>
      </c>
      <c r="N27" s="4">
        <f t="shared" si="15"/>
        <v>161</v>
      </c>
      <c r="O27" s="5">
        <f t="shared" si="16"/>
        <v>362</v>
      </c>
      <c r="P27" s="6" t="str">
        <f t="shared" si="17"/>
        <v>Plus120Days</v>
      </c>
      <c r="Q27" s="7">
        <v>42855</v>
      </c>
      <c r="R27" s="6" t="s">
        <v>2178</v>
      </c>
      <c r="Y27" s="1" t="str">
        <f>"4060559996"</f>
        <v>4060559996</v>
      </c>
    </row>
    <row r="28" spans="1:25" x14ac:dyDescent="0.2">
      <c r="A28" s="9" t="s">
        <v>87</v>
      </c>
      <c r="B28" s="10">
        <v>42500</v>
      </c>
      <c r="C28" s="9" t="s">
        <v>88</v>
      </c>
      <c r="D28" s="9" t="s">
        <v>21</v>
      </c>
      <c r="E28" s="9" t="s">
        <v>2190</v>
      </c>
      <c r="F28" s="9">
        <v>0</v>
      </c>
      <c r="G28" s="8">
        <v>189</v>
      </c>
      <c r="H28" s="4">
        <f t="shared" si="9"/>
        <v>0</v>
      </c>
      <c r="I28" s="4">
        <f t="shared" si="10"/>
        <v>0</v>
      </c>
      <c r="J28" s="4">
        <f t="shared" si="11"/>
        <v>0</v>
      </c>
      <c r="K28" s="4">
        <f t="shared" si="12"/>
        <v>0</v>
      </c>
      <c r="L28" s="4">
        <f t="shared" si="13"/>
        <v>0</v>
      </c>
      <c r="M28" s="4">
        <f t="shared" si="14"/>
        <v>189</v>
      </c>
      <c r="N28" s="4">
        <f t="shared" si="15"/>
        <v>189</v>
      </c>
      <c r="O28" s="5">
        <f t="shared" si="16"/>
        <v>355</v>
      </c>
      <c r="P28" s="6" t="str">
        <f t="shared" si="17"/>
        <v>Plus120Days</v>
      </c>
      <c r="Q28" s="7">
        <v>42855</v>
      </c>
      <c r="R28" s="6" t="s">
        <v>2178</v>
      </c>
      <c r="Y28" s="1" t="str">
        <f>"423607348"</f>
        <v>423607348</v>
      </c>
    </row>
    <row r="29" spans="1:25" x14ac:dyDescent="0.2">
      <c r="A29" s="9" t="s">
        <v>128</v>
      </c>
      <c r="B29" s="10">
        <v>42514</v>
      </c>
      <c r="C29" s="9" t="s">
        <v>129</v>
      </c>
      <c r="D29" s="9" t="s">
        <v>21</v>
      </c>
      <c r="E29" s="9" t="s">
        <v>2190</v>
      </c>
      <c r="F29" s="9">
        <v>0</v>
      </c>
      <c r="G29" s="8">
        <v>191</v>
      </c>
      <c r="H29" s="4">
        <f t="shared" si="9"/>
        <v>0</v>
      </c>
      <c r="I29" s="4">
        <f t="shared" si="10"/>
        <v>0</v>
      </c>
      <c r="J29" s="4">
        <f t="shared" si="11"/>
        <v>0</v>
      </c>
      <c r="K29" s="4">
        <f t="shared" si="12"/>
        <v>0</v>
      </c>
      <c r="L29" s="4">
        <f t="shared" si="13"/>
        <v>0</v>
      </c>
      <c r="M29" s="4">
        <f t="shared" si="14"/>
        <v>191</v>
      </c>
      <c r="N29" s="4">
        <f t="shared" si="15"/>
        <v>191</v>
      </c>
      <c r="O29" s="5">
        <f t="shared" si="16"/>
        <v>341</v>
      </c>
      <c r="P29" s="6" t="str">
        <f t="shared" si="17"/>
        <v>Plus120Days</v>
      </c>
      <c r="Q29" s="7">
        <v>42855</v>
      </c>
      <c r="R29" s="6" t="s">
        <v>2178</v>
      </c>
      <c r="Y29" s="1" t="str">
        <f>"423607444"</f>
        <v>423607444</v>
      </c>
    </row>
    <row r="30" spans="1:25" x14ac:dyDescent="0.2">
      <c r="A30" s="9" t="s">
        <v>126</v>
      </c>
      <c r="B30" s="10">
        <v>42514</v>
      </c>
      <c r="C30" s="9" t="s">
        <v>127</v>
      </c>
      <c r="D30" s="9" t="s">
        <v>21</v>
      </c>
      <c r="E30" s="9" t="s">
        <v>2190</v>
      </c>
      <c r="F30" s="9">
        <v>0</v>
      </c>
      <c r="G30" s="8">
        <v>202</v>
      </c>
      <c r="H30" s="4">
        <f t="shared" si="9"/>
        <v>0</v>
      </c>
      <c r="I30" s="4">
        <f t="shared" si="10"/>
        <v>0</v>
      </c>
      <c r="J30" s="4">
        <f t="shared" si="11"/>
        <v>0</v>
      </c>
      <c r="K30" s="4">
        <f t="shared" si="12"/>
        <v>0</v>
      </c>
      <c r="L30" s="4">
        <f t="shared" si="13"/>
        <v>0</v>
      </c>
      <c r="M30" s="4">
        <f t="shared" si="14"/>
        <v>202</v>
      </c>
      <c r="N30" s="4">
        <f t="shared" si="15"/>
        <v>202</v>
      </c>
      <c r="O30" s="5">
        <f t="shared" si="16"/>
        <v>341</v>
      </c>
      <c r="P30" s="6" t="str">
        <f t="shared" si="17"/>
        <v>Plus120Days</v>
      </c>
      <c r="Q30" s="7">
        <v>42855</v>
      </c>
      <c r="R30" s="6" t="s">
        <v>2178</v>
      </c>
      <c r="Y30" s="1" t="str">
        <f>"423607440"</f>
        <v>423607440</v>
      </c>
    </row>
    <row r="31" spans="1:25" x14ac:dyDescent="0.2">
      <c r="A31" s="9" t="s">
        <v>61</v>
      </c>
      <c r="B31" s="10">
        <v>42493</v>
      </c>
      <c r="C31" s="9" t="s">
        <v>62</v>
      </c>
      <c r="D31" s="9" t="s">
        <v>21</v>
      </c>
      <c r="E31" s="9" t="s">
        <v>2190</v>
      </c>
      <c r="F31" s="9">
        <v>0</v>
      </c>
      <c r="G31" s="8">
        <v>221</v>
      </c>
      <c r="H31" s="4">
        <f t="shared" si="9"/>
        <v>0</v>
      </c>
      <c r="I31" s="4">
        <f t="shared" si="10"/>
        <v>0</v>
      </c>
      <c r="J31" s="4">
        <f t="shared" si="11"/>
        <v>0</v>
      </c>
      <c r="K31" s="4">
        <f t="shared" si="12"/>
        <v>0</v>
      </c>
      <c r="L31" s="4">
        <f t="shared" si="13"/>
        <v>0</v>
      </c>
      <c r="M31" s="4">
        <f t="shared" si="14"/>
        <v>221</v>
      </c>
      <c r="N31" s="4">
        <f t="shared" si="15"/>
        <v>221</v>
      </c>
      <c r="O31" s="5">
        <f t="shared" si="16"/>
        <v>362</v>
      </c>
      <c r="P31" s="6" t="str">
        <f t="shared" si="17"/>
        <v>Plus120Days</v>
      </c>
      <c r="Q31" s="7">
        <v>42855</v>
      </c>
      <c r="R31" s="6" t="s">
        <v>2178</v>
      </c>
      <c r="Y31" s="1" t="str">
        <f>"4060559385"</f>
        <v>4060559385</v>
      </c>
    </row>
    <row r="32" spans="1:25" x14ac:dyDescent="0.2">
      <c r="A32" s="9" t="s">
        <v>81</v>
      </c>
      <c r="B32" s="10">
        <v>42495</v>
      </c>
      <c r="C32" s="9" t="s">
        <v>82</v>
      </c>
      <c r="D32" s="9" t="s">
        <v>21</v>
      </c>
      <c r="E32" s="9" t="s">
        <v>2190</v>
      </c>
      <c r="F32" s="9">
        <v>0</v>
      </c>
      <c r="G32" s="8">
        <v>292</v>
      </c>
      <c r="H32" s="4">
        <f t="shared" si="9"/>
        <v>0</v>
      </c>
      <c r="I32" s="4">
        <f t="shared" si="10"/>
        <v>0</v>
      </c>
      <c r="J32" s="4">
        <f t="shared" si="11"/>
        <v>0</v>
      </c>
      <c r="K32" s="4">
        <f t="shared" si="12"/>
        <v>0</v>
      </c>
      <c r="L32" s="4">
        <f t="shared" si="13"/>
        <v>0</v>
      </c>
      <c r="M32" s="4">
        <f t="shared" si="14"/>
        <v>292</v>
      </c>
      <c r="N32" s="4">
        <f t="shared" si="15"/>
        <v>292</v>
      </c>
      <c r="O32" s="5">
        <f t="shared" si="16"/>
        <v>360</v>
      </c>
      <c r="P32" s="6" t="str">
        <f t="shared" si="17"/>
        <v>Plus120Days</v>
      </c>
      <c r="Q32" s="7">
        <v>42855</v>
      </c>
      <c r="R32" s="6" t="s">
        <v>2178</v>
      </c>
      <c r="Y32" s="1" t="str">
        <f>"4520080540"</f>
        <v>4520080540</v>
      </c>
    </row>
    <row r="33" spans="1:25" x14ac:dyDescent="0.2">
      <c r="A33" s="9" t="s">
        <v>55</v>
      </c>
      <c r="B33" s="10">
        <v>42492</v>
      </c>
      <c r="C33" s="9" t="s">
        <v>56</v>
      </c>
      <c r="D33" s="9" t="s">
        <v>21</v>
      </c>
      <c r="E33" s="9" t="s">
        <v>2190</v>
      </c>
      <c r="F33" s="9">
        <v>0</v>
      </c>
      <c r="G33" s="8">
        <v>342</v>
      </c>
      <c r="H33" s="4">
        <f t="shared" ref="H33:H38" si="18">IF(O33&lt;=30,G33,0)</f>
        <v>0</v>
      </c>
      <c r="I33" s="4">
        <f t="shared" ref="I33:I38" si="19">IF(AND(O33&gt;30,O33&lt;=45),G33,0)</f>
        <v>0</v>
      </c>
      <c r="J33" s="4">
        <f t="shared" ref="J33:J38" si="20">IF(AND(O33&gt;45,O33&lt;=60),G33,0)</f>
        <v>0</v>
      </c>
      <c r="K33" s="4">
        <f t="shared" ref="K33:K38" si="21">IF(AND(O33&gt;60,O33&lt;=90),G33,0)</f>
        <v>0</v>
      </c>
      <c r="L33" s="4">
        <f t="shared" ref="L33:L38" si="22">IF(AND(O33&gt;90,O33&lt;=120),G33,0)</f>
        <v>0</v>
      </c>
      <c r="M33" s="4">
        <f t="shared" ref="M33:M38" si="23">IF(O33&gt;120,G33,0)</f>
        <v>342</v>
      </c>
      <c r="N33" s="4">
        <f t="shared" ref="N33:N38" si="24">IF(O33&gt;60,G33,0)</f>
        <v>342</v>
      </c>
      <c r="O33" s="5">
        <f t="shared" ref="O33:O38" si="25">Q33-B33</f>
        <v>363</v>
      </c>
      <c r="P33" s="6" t="str">
        <f t="shared" ref="P33:P38" si="26">IF(AND(O33&lt;=30),"30 Days",IF(AND(O33&gt;30,O33&lt;=45),"31 TO 45 Days",IF(AND(O33&gt;45,O33&lt;=60),"46 To 60 Days",IF(AND(O33&gt;60,O33&lt;=90),"61 To 90 Days",IF(AND(O33&gt;90,O33&lt;=120),"91 To 120 Days",IF(AND(O33&gt;120),"Plus120Days",))))))</f>
        <v>Plus120Days</v>
      </c>
      <c r="Q33" s="7">
        <v>42855</v>
      </c>
      <c r="R33" s="6" t="s">
        <v>2178</v>
      </c>
      <c r="Y33" s="1" t="str">
        <f>"411945001"</f>
        <v>411945001</v>
      </c>
    </row>
    <row r="34" spans="1:25" x14ac:dyDescent="0.2">
      <c r="A34" s="9" t="s">
        <v>105</v>
      </c>
      <c r="B34" s="10">
        <v>42507</v>
      </c>
      <c r="C34" s="9" t="s">
        <v>106</v>
      </c>
      <c r="D34" s="9" t="s">
        <v>21</v>
      </c>
      <c r="E34" s="9" t="s">
        <v>2190</v>
      </c>
      <c r="F34" s="9">
        <v>0</v>
      </c>
      <c r="G34" s="8">
        <v>361</v>
      </c>
      <c r="H34" s="4">
        <f t="shared" si="18"/>
        <v>0</v>
      </c>
      <c r="I34" s="4">
        <f t="shared" si="19"/>
        <v>0</v>
      </c>
      <c r="J34" s="4">
        <f t="shared" si="20"/>
        <v>0</v>
      </c>
      <c r="K34" s="4">
        <f t="shared" si="21"/>
        <v>0</v>
      </c>
      <c r="L34" s="4">
        <f t="shared" si="22"/>
        <v>0</v>
      </c>
      <c r="M34" s="4">
        <f t="shared" si="23"/>
        <v>361</v>
      </c>
      <c r="N34" s="4">
        <f t="shared" si="24"/>
        <v>361</v>
      </c>
      <c r="O34" s="5">
        <f t="shared" si="25"/>
        <v>348</v>
      </c>
      <c r="P34" s="6" t="str">
        <f t="shared" si="26"/>
        <v>Plus120Days</v>
      </c>
      <c r="Q34" s="7">
        <v>42855</v>
      </c>
      <c r="R34" s="6" t="s">
        <v>2178</v>
      </c>
      <c r="Y34" s="1" t="str">
        <f>"423607387"</f>
        <v>423607387</v>
      </c>
    </row>
    <row r="35" spans="1:25" x14ac:dyDescent="0.2">
      <c r="A35" s="9" t="s">
        <v>1957</v>
      </c>
      <c r="B35" s="10">
        <v>42836</v>
      </c>
      <c r="C35" s="9" t="s">
        <v>1958</v>
      </c>
      <c r="D35" s="9" t="s">
        <v>1956</v>
      </c>
      <c r="E35" s="9" t="s">
        <v>2190</v>
      </c>
      <c r="F35" s="9">
        <v>0</v>
      </c>
      <c r="G35" s="8">
        <v>368</v>
      </c>
      <c r="H35" s="4">
        <f t="shared" si="18"/>
        <v>368</v>
      </c>
      <c r="I35" s="4">
        <f t="shared" si="19"/>
        <v>0</v>
      </c>
      <c r="J35" s="4">
        <f t="shared" si="20"/>
        <v>0</v>
      </c>
      <c r="K35" s="4">
        <f t="shared" si="21"/>
        <v>0</v>
      </c>
      <c r="L35" s="4">
        <f t="shared" si="22"/>
        <v>0</v>
      </c>
      <c r="M35" s="4">
        <f t="shared" si="23"/>
        <v>0</v>
      </c>
      <c r="N35" s="4">
        <f t="shared" si="24"/>
        <v>0</v>
      </c>
      <c r="O35" s="5">
        <f t="shared" si="25"/>
        <v>19</v>
      </c>
      <c r="P35" s="6" t="str">
        <f t="shared" si="26"/>
        <v>30 Days</v>
      </c>
      <c r="Q35" s="7">
        <v>42855</v>
      </c>
      <c r="R35" s="6" t="str">
        <f>VLOOKUP(A35:A1122,[1]BOM_INV_OPERATOR_DETAILS_OUTPUT!$A$2:$D$1233,4,FALSE)</f>
        <v>AI</v>
      </c>
      <c r="Y35" s="1" t="str">
        <f>"4570271476"</f>
        <v>4570271476</v>
      </c>
    </row>
    <row r="36" spans="1:25" x14ac:dyDescent="0.2">
      <c r="A36" s="9" t="s">
        <v>109</v>
      </c>
      <c r="B36" s="10">
        <v>42507</v>
      </c>
      <c r="C36" s="9" t="s">
        <v>110</v>
      </c>
      <c r="D36" s="9" t="s">
        <v>21</v>
      </c>
      <c r="E36" s="9" t="s">
        <v>2190</v>
      </c>
      <c r="F36" s="9">
        <v>0</v>
      </c>
      <c r="G36" s="8">
        <v>380</v>
      </c>
      <c r="H36" s="4">
        <f t="shared" si="18"/>
        <v>0</v>
      </c>
      <c r="I36" s="4">
        <f t="shared" si="19"/>
        <v>0</v>
      </c>
      <c r="J36" s="4">
        <f t="shared" si="20"/>
        <v>0</v>
      </c>
      <c r="K36" s="4">
        <f t="shared" si="21"/>
        <v>0</v>
      </c>
      <c r="L36" s="4">
        <f t="shared" si="22"/>
        <v>0</v>
      </c>
      <c r="M36" s="4">
        <f t="shared" si="23"/>
        <v>380</v>
      </c>
      <c r="N36" s="4">
        <f t="shared" si="24"/>
        <v>380</v>
      </c>
      <c r="O36" s="5">
        <f t="shared" si="25"/>
        <v>348</v>
      </c>
      <c r="P36" s="6" t="str">
        <f t="shared" si="26"/>
        <v>Plus120Days</v>
      </c>
      <c r="Q36" s="7">
        <v>42855</v>
      </c>
      <c r="R36" s="6" t="s">
        <v>2178</v>
      </c>
      <c r="Y36" s="1" t="str">
        <f>"423607405"</f>
        <v>423607405</v>
      </c>
    </row>
    <row r="37" spans="1:25" x14ac:dyDescent="0.2">
      <c r="A37" s="9" t="s">
        <v>67</v>
      </c>
      <c r="B37" s="10">
        <v>42494</v>
      </c>
      <c r="C37" s="9" t="s">
        <v>68</v>
      </c>
      <c r="D37" s="9" t="s">
        <v>21</v>
      </c>
      <c r="E37" s="9" t="s">
        <v>2190</v>
      </c>
      <c r="F37" s="9">
        <v>0</v>
      </c>
      <c r="G37" s="8">
        <v>403</v>
      </c>
      <c r="H37" s="4">
        <f t="shared" si="18"/>
        <v>0</v>
      </c>
      <c r="I37" s="4">
        <f t="shared" si="19"/>
        <v>0</v>
      </c>
      <c r="J37" s="4">
        <f t="shared" si="20"/>
        <v>0</v>
      </c>
      <c r="K37" s="4">
        <f t="shared" si="21"/>
        <v>0</v>
      </c>
      <c r="L37" s="4">
        <f t="shared" si="22"/>
        <v>0</v>
      </c>
      <c r="M37" s="4">
        <f t="shared" si="23"/>
        <v>403</v>
      </c>
      <c r="N37" s="4">
        <f t="shared" si="24"/>
        <v>403</v>
      </c>
      <c r="O37" s="5">
        <f t="shared" si="25"/>
        <v>361</v>
      </c>
      <c r="P37" s="6" t="str">
        <f t="shared" si="26"/>
        <v>Plus120Days</v>
      </c>
      <c r="Q37" s="7">
        <v>42855</v>
      </c>
      <c r="R37" s="6" t="s">
        <v>2178</v>
      </c>
      <c r="Y37" s="1" t="str">
        <f>"4760139902"</f>
        <v>4760139902</v>
      </c>
    </row>
    <row r="38" spans="1:25" x14ac:dyDescent="0.2">
      <c r="A38" s="9" t="s">
        <v>95</v>
      </c>
      <c r="B38" s="10">
        <v>42500</v>
      </c>
      <c r="C38" s="9" t="s">
        <v>96</v>
      </c>
      <c r="D38" s="9" t="s">
        <v>21</v>
      </c>
      <c r="E38" s="9" t="s">
        <v>2190</v>
      </c>
      <c r="F38" s="9">
        <v>0</v>
      </c>
      <c r="G38" s="8">
        <v>404</v>
      </c>
      <c r="H38" s="4">
        <f t="shared" si="18"/>
        <v>0</v>
      </c>
      <c r="I38" s="4">
        <f t="shared" si="19"/>
        <v>0</v>
      </c>
      <c r="J38" s="4">
        <f t="shared" si="20"/>
        <v>0</v>
      </c>
      <c r="K38" s="4">
        <f t="shared" si="21"/>
        <v>0</v>
      </c>
      <c r="L38" s="4">
        <f t="shared" si="22"/>
        <v>0</v>
      </c>
      <c r="M38" s="4">
        <f t="shared" si="23"/>
        <v>404</v>
      </c>
      <c r="N38" s="4">
        <f t="shared" si="24"/>
        <v>404</v>
      </c>
      <c r="O38" s="5">
        <f t="shared" si="25"/>
        <v>355</v>
      </c>
      <c r="P38" s="6" t="str">
        <f t="shared" si="26"/>
        <v>Plus120Days</v>
      </c>
      <c r="Q38" s="7">
        <v>42855</v>
      </c>
      <c r="R38" s="6" t="s">
        <v>2178</v>
      </c>
      <c r="Y38" s="1" t="str">
        <f>"4870141848"</f>
        <v>4870141848</v>
      </c>
    </row>
    <row r="39" spans="1:25" x14ac:dyDescent="0.2">
      <c r="A39" s="9" t="s">
        <v>859</v>
      </c>
      <c r="B39" s="10">
        <v>42796</v>
      </c>
      <c r="C39" s="9" t="s">
        <v>860</v>
      </c>
      <c r="D39" s="9" t="s">
        <v>858</v>
      </c>
      <c r="E39" s="9" t="s">
        <v>2190</v>
      </c>
      <c r="F39" s="9">
        <v>0</v>
      </c>
      <c r="G39" s="8">
        <v>416</v>
      </c>
      <c r="H39" s="4">
        <f t="shared" ref="H39:H40" si="27">IF(O39&lt;=30,G39,0)</f>
        <v>0</v>
      </c>
      <c r="I39" s="4">
        <f t="shared" ref="I39:I40" si="28">IF(AND(O39&gt;30,O39&lt;=45),G39,0)</f>
        <v>0</v>
      </c>
      <c r="J39" s="4">
        <f t="shared" ref="J39:J40" si="29">IF(AND(O39&gt;45,O39&lt;=60),G39,0)</f>
        <v>416</v>
      </c>
      <c r="K39" s="4">
        <f t="shared" ref="K39:K40" si="30">IF(AND(O39&gt;60,O39&lt;=90),G39,0)</f>
        <v>0</v>
      </c>
      <c r="L39" s="4">
        <f t="shared" ref="L39:L40" si="31">IF(AND(O39&gt;90,O39&lt;=120),G39,0)</f>
        <v>0</v>
      </c>
      <c r="M39" s="4">
        <f t="shared" ref="M39:M40" si="32">IF(O39&gt;120,G39,0)</f>
        <v>0</v>
      </c>
      <c r="N39" s="4">
        <f t="shared" ref="N39:N40" si="33">IF(O39&gt;60,G39,0)</f>
        <v>0</v>
      </c>
      <c r="O39" s="5">
        <f t="shared" ref="O39:O40" si="34">Q39-B39</f>
        <v>59</v>
      </c>
      <c r="P39" s="6" t="str">
        <f t="shared" ref="P39:P40" si="35">IF(AND(O39&lt;=30),"30 Days",IF(AND(O39&gt;30,O39&lt;=45),"31 TO 45 Days",IF(AND(O39&gt;45,O39&lt;=60),"46 To 60 Days",IF(AND(O39&gt;60,O39&lt;=90),"61 To 90 Days",IF(AND(O39&gt;90,O39&lt;=120),"91 To 120 Days",IF(AND(O39&gt;120),"Plus120Days",))))))</f>
        <v>46 To 60 Days</v>
      </c>
      <c r="Q39" s="7">
        <v>42855</v>
      </c>
      <c r="R39" s="6" t="s">
        <v>2178</v>
      </c>
      <c r="Y39" s="1" t="str">
        <f>"4711232269"</f>
        <v>4711232269</v>
      </c>
    </row>
    <row r="40" spans="1:25" x14ac:dyDescent="0.2">
      <c r="A40" s="9" t="s">
        <v>124</v>
      </c>
      <c r="B40" s="10">
        <v>42514</v>
      </c>
      <c r="C40" s="9" t="s">
        <v>125</v>
      </c>
      <c r="D40" s="9" t="s">
        <v>21</v>
      </c>
      <c r="E40" s="9" t="s">
        <v>2190</v>
      </c>
      <c r="F40" s="9">
        <v>0</v>
      </c>
      <c r="G40" s="8">
        <v>445</v>
      </c>
      <c r="H40" s="4">
        <f t="shared" si="27"/>
        <v>0</v>
      </c>
      <c r="I40" s="4">
        <f t="shared" si="28"/>
        <v>0</v>
      </c>
      <c r="J40" s="4">
        <f t="shared" si="29"/>
        <v>0</v>
      </c>
      <c r="K40" s="4">
        <f t="shared" si="30"/>
        <v>0</v>
      </c>
      <c r="L40" s="4">
        <f t="shared" si="31"/>
        <v>0</v>
      </c>
      <c r="M40" s="4">
        <f t="shared" si="32"/>
        <v>445</v>
      </c>
      <c r="N40" s="4">
        <f t="shared" si="33"/>
        <v>445</v>
      </c>
      <c r="O40" s="5">
        <f t="shared" si="34"/>
        <v>341</v>
      </c>
      <c r="P40" s="6" t="str">
        <f t="shared" si="35"/>
        <v>Plus120Days</v>
      </c>
      <c r="Q40" s="7">
        <v>42855</v>
      </c>
      <c r="R40" s="6" t="s">
        <v>2178</v>
      </c>
      <c r="Y40" s="1" t="str">
        <f>"4870142230"</f>
        <v>4870142230</v>
      </c>
    </row>
    <row r="41" spans="1:25" x14ac:dyDescent="0.2">
      <c r="A41" s="9" t="s">
        <v>181</v>
      </c>
      <c r="B41" s="10">
        <v>42718</v>
      </c>
      <c r="C41" s="9" t="s">
        <v>182</v>
      </c>
      <c r="D41" s="9" t="s">
        <v>153</v>
      </c>
      <c r="E41" s="9" t="s">
        <v>2190</v>
      </c>
      <c r="F41" s="9">
        <v>500000</v>
      </c>
      <c r="G41" s="8">
        <v>508</v>
      </c>
      <c r="H41" s="4">
        <f t="shared" ref="H41:H42" si="36">IF(O41&lt;=30,G41,0)</f>
        <v>0</v>
      </c>
      <c r="I41" s="4">
        <f t="shared" ref="I41:I42" si="37">IF(AND(O41&gt;30,O41&lt;=45),G41,0)</f>
        <v>0</v>
      </c>
      <c r="J41" s="4">
        <f t="shared" ref="J41:J42" si="38">IF(AND(O41&gt;45,O41&lt;=60),G41,0)</f>
        <v>0</v>
      </c>
      <c r="K41" s="4">
        <f t="shared" ref="K41:K42" si="39">IF(AND(O41&gt;60,O41&lt;=90),G41,0)</f>
        <v>0</v>
      </c>
      <c r="L41" s="4">
        <f t="shared" ref="L41:L42" si="40">IF(AND(O41&gt;90,O41&lt;=120),G41,0)</f>
        <v>0</v>
      </c>
      <c r="M41" s="4">
        <f t="shared" ref="M41:M42" si="41">IF(O41&gt;120,G41,0)</f>
        <v>508</v>
      </c>
      <c r="N41" s="4">
        <f t="shared" ref="N41:N42" si="42">IF(O41&gt;60,G41,0)</f>
        <v>508</v>
      </c>
      <c r="O41" s="5">
        <f t="shared" ref="O41:O42" si="43">Q41-B41</f>
        <v>137</v>
      </c>
      <c r="P41" s="6" t="str">
        <f t="shared" ref="P41:P42" si="44">IF(AND(O41&lt;=30),"30 Days",IF(AND(O41&gt;30,O41&lt;=45),"31 TO 45 Days",IF(AND(O41&gt;45,O41&lt;=60),"46 To 60 Days",IF(AND(O41&gt;60,O41&lt;=90),"61 To 90 Days",IF(AND(O41&gt;90,O41&lt;=120),"91 To 120 Days",IF(AND(O41&gt;120),"Plus120Days",))))))</f>
        <v>Plus120Days</v>
      </c>
      <c r="Q41" s="7">
        <v>42855</v>
      </c>
      <c r="R41" s="6" t="s">
        <v>2178</v>
      </c>
      <c r="Y41" s="1" t="str">
        <f>"4250153493"</f>
        <v>4250153493</v>
      </c>
    </row>
    <row r="42" spans="1:25" x14ac:dyDescent="0.2">
      <c r="A42" s="9" t="s">
        <v>69</v>
      </c>
      <c r="B42" s="10">
        <v>42494</v>
      </c>
      <c r="C42" s="9" t="s">
        <v>70</v>
      </c>
      <c r="D42" s="9" t="s">
        <v>21</v>
      </c>
      <c r="E42" s="9" t="s">
        <v>2190</v>
      </c>
      <c r="F42" s="9">
        <v>0</v>
      </c>
      <c r="G42" s="8">
        <v>535</v>
      </c>
      <c r="H42" s="4">
        <f t="shared" si="36"/>
        <v>0</v>
      </c>
      <c r="I42" s="4">
        <f t="shared" si="37"/>
        <v>0</v>
      </c>
      <c r="J42" s="4">
        <f t="shared" si="38"/>
        <v>0</v>
      </c>
      <c r="K42" s="4">
        <f t="shared" si="39"/>
        <v>0</v>
      </c>
      <c r="L42" s="4">
        <f t="shared" si="40"/>
        <v>0</v>
      </c>
      <c r="M42" s="4">
        <f t="shared" si="41"/>
        <v>535</v>
      </c>
      <c r="N42" s="4">
        <f t="shared" si="42"/>
        <v>535</v>
      </c>
      <c r="O42" s="5">
        <f t="shared" si="43"/>
        <v>361</v>
      </c>
      <c r="P42" s="6" t="str">
        <f t="shared" si="44"/>
        <v>Plus120Days</v>
      </c>
      <c r="Q42" s="7">
        <v>42855</v>
      </c>
      <c r="R42" s="6" t="s">
        <v>2178</v>
      </c>
      <c r="Y42" s="1" t="str">
        <f>"4870141646"</f>
        <v>4870141646</v>
      </c>
    </row>
    <row r="43" spans="1:25" x14ac:dyDescent="0.2">
      <c r="A43" s="9" t="s">
        <v>101</v>
      </c>
      <c r="B43" s="10">
        <v>42506</v>
      </c>
      <c r="C43" s="9" t="s">
        <v>102</v>
      </c>
      <c r="D43" s="9" t="s">
        <v>21</v>
      </c>
      <c r="E43" s="9" t="s">
        <v>2190</v>
      </c>
      <c r="F43" s="9">
        <v>0</v>
      </c>
      <c r="G43" s="8">
        <v>581</v>
      </c>
      <c r="H43" s="4">
        <f t="shared" ref="H43:H44" si="45">IF(O43&lt;=30,G43,0)</f>
        <v>0</v>
      </c>
      <c r="I43" s="4">
        <f t="shared" ref="I43:I44" si="46">IF(AND(O43&gt;30,O43&lt;=45),G43,0)</f>
        <v>0</v>
      </c>
      <c r="J43" s="4">
        <f t="shared" ref="J43:J44" si="47">IF(AND(O43&gt;45,O43&lt;=60),G43,0)</f>
        <v>0</v>
      </c>
      <c r="K43" s="4">
        <f t="shared" ref="K43:K44" si="48">IF(AND(O43&gt;60,O43&lt;=90),G43,0)</f>
        <v>0</v>
      </c>
      <c r="L43" s="4">
        <f t="shared" ref="L43:L44" si="49">IF(AND(O43&gt;90,O43&lt;=120),G43,0)</f>
        <v>0</v>
      </c>
      <c r="M43" s="4">
        <f t="shared" ref="M43:M44" si="50">IF(O43&gt;120,G43,0)</f>
        <v>581</v>
      </c>
      <c r="N43" s="4">
        <f t="shared" ref="N43:N44" si="51">IF(O43&gt;60,G43,0)</f>
        <v>581</v>
      </c>
      <c r="O43" s="5">
        <f t="shared" ref="O43:O44" si="52">Q43-B43</f>
        <v>349</v>
      </c>
      <c r="P43" s="6" t="str">
        <f t="shared" ref="P43:P44" si="53">IF(AND(O43&lt;=30),"30 Days",IF(AND(O43&gt;30,O43&lt;=45),"31 TO 45 Days",IF(AND(O43&gt;45,O43&lt;=60),"46 To 60 Days",IF(AND(O43&gt;60,O43&lt;=90),"61 To 90 Days",IF(AND(O43&gt;90,O43&lt;=120),"91 To 120 Days",IF(AND(O43&gt;120),"Plus120Days",))))))</f>
        <v>Plus120Days</v>
      </c>
      <c r="Q43" s="7">
        <v>42855</v>
      </c>
      <c r="R43" s="6" t="s">
        <v>2178</v>
      </c>
      <c r="Y43" s="1" t="str">
        <f>"4870142056"</f>
        <v>4870142056</v>
      </c>
    </row>
    <row r="44" spans="1:25" x14ac:dyDescent="0.2">
      <c r="A44" s="9" t="s">
        <v>73</v>
      </c>
      <c r="B44" s="10">
        <v>42494</v>
      </c>
      <c r="C44" s="9" t="s">
        <v>74</v>
      </c>
      <c r="D44" s="9" t="s">
        <v>21</v>
      </c>
      <c r="E44" s="9" t="s">
        <v>2190</v>
      </c>
      <c r="F44" s="9">
        <v>0</v>
      </c>
      <c r="G44" s="8">
        <v>589</v>
      </c>
      <c r="H44" s="4">
        <f t="shared" si="45"/>
        <v>0</v>
      </c>
      <c r="I44" s="4">
        <f t="shared" si="46"/>
        <v>0</v>
      </c>
      <c r="J44" s="4">
        <f t="shared" si="47"/>
        <v>0</v>
      </c>
      <c r="K44" s="4">
        <f t="shared" si="48"/>
        <v>0</v>
      </c>
      <c r="L44" s="4">
        <f t="shared" si="49"/>
        <v>0</v>
      </c>
      <c r="M44" s="4">
        <f t="shared" si="50"/>
        <v>589</v>
      </c>
      <c r="N44" s="4">
        <f t="shared" si="51"/>
        <v>589</v>
      </c>
      <c r="O44" s="5">
        <f t="shared" si="52"/>
        <v>361</v>
      </c>
      <c r="P44" s="6" t="str">
        <f t="shared" si="53"/>
        <v>Plus120Days</v>
      </c>
      <c r="Q44" s="7">
        <v>42855</v>
      </c>
      <c r="R44" s="6" t="s">
        <v>2178</v>
      </c>
      <c r="Y44" s="1" t="str">
        <f>"423607316"</f>
        <v>423607316</v>
      </c>
    </row>
    <row r="45" spans="1:25" x14ac:dyDescent="0.2">
      <c r="A45" s="9" t="s">
        <v>49</v>
      </c>
      <c r="B45" s="10">
        <v>42494</v>
      </c>
      <c r="C45" s="9" t="s">
        <v>50</v>
      </c>
      <c r="D45" s="9" t="s">
        <v>21</v>
      </c>
      <c r="E45" s="9" t="s">
        <v>2190</v>
      </c>
      <c r="F45" s="9">
        <v>0</v>
      </c>
      <c r="G45" s="8">
        <v>639</v>
      </c>
      <c r="H45" s="4">
        <f t="shared" ref="H45" si="54">IF(O45&lt;=30,G45,0)</f>
        <v>0</v>
      </c>
      <c r="I45" s="4">
        <f t="shared" ref="I45" si="55">IF(AND(O45&gt;30,O45&lt;=45),G45,0)</f>
        <v>0</v>
      </c>
      <c r="J45" s="4">
        <f t="shared" ref="J45" si="56">IF(AND(O45&gt;45,O45&lt;=60),G45,0)</f>
        <v>0</v>
      </c>
      <c r="K45" s="4">
        <f t="shared" ref="K45" si="57">IF(AND(O45&gt;60,O45&lt;=90),G45,0)</f>
        <v>0</v>
      </c>
      <c r="L45" s="4">
        <f t="shared" ref="L45" si="58">IF(AND(O45&gt;90,O45&lt;=120),G45,0)</f>
        <v>0</v>
      </c>
      <c r="M45" s="4">
        <f t="shared" ref="M45" si="59">IF(O45&gt;120,G45,0)</f>
        <v>639</v>
      </c>
      <c r="N45" s="4">
        <f t="shared" ref="N45" si="60">IF(O45&gt;60,G45,0)</f>
        <v>639</v>
      </c>
      <c r="O45" s="5">
        <f t="shared" ref="O45" si="61">Q45-B45</f>
        <v>361</v>
      </c>
      <c r="P45" s="6" t="str">
        <f t="shared" ref="P45" si="62">IF(AND(O45&lt;=30),"30 Days",IF(AND(O45&gt;30,O45&lt;=45),"31 TO 45 Days",IF(AND(O45&gt;45,O45&lt;=60),"46 To 60 Days",IF(AND(O45&gt;60,O45&lt;=90),"61 To 90 Days",IF(AND(O45&gt;90,O45&lt;=120),"91 To 120 Days",IF(AND(O45&gt;120),"Plus120Days",))))))</f>
        <v>Plus120Days</v>
      </c>
      <c r="Q45" s="7">
        <v>42855</v>
      </c>
      <c r="R45" s="6" t="s">
        <v>2178</v>
      </c>
      <c r="Y45" s="1" t="str">
        <f>"423607321"</f>
        <v>423607321</v>
      </c>
    </row>
    <row r="46" spans="1:25" x14ac:dyDescent="0.2">
      <c r="A46" s="9" t="s">
        <v>787</v>
      </c>
      <c r="B46" s="10">
        <v>42794</v>
      </c>
      <c r="C46" s="9" t="s">
        <v>788</v>
      </c>
      <c r="D46" s="9" t="s">
        <v>133</v>
      </c>
      <c r="E46" s="9" t="s">
        <v>2190</v>
      </c>
      <c r="F46" s="9">
        <v>20000000</v>
      </c>
      <c r="G46" s="8">
        <v>748</v>
      </c>
      <c r="H46" s="4">
        <f t="shared" ref="H46:H56" si="63">IF(O46&lt;=30,G46,0)</f>
        <v>0</v>
      </c>
      <c r="I46" s="4">
        <f t="shared" ref="I46:I56" si="64">IF(AND(O46&gt;30,O46&lt;=45),G46,0)</f>
        <v>0</v>
      </c>
      <c r="J46" s="4">
        <f t="shared" ref="J46:J56" si="65">IF(AND(O46&gt;45,O46&lt;=60),G46,0)</f>
        <v>0</v>
      </c>
      <c r="K46" s="4">
        <f t="shared" ref="K46:K56" si="66">IF(AND(O46&gt;60,O46&lt;=90),G46,0)</f>
        <v>748</v>
      </c>
      <c r="L46" s="4">
        <f t="shared" ref="L46:L56" si="67">IF(AND(O46&gt;90,O46&lt;=120),G46,0)</f>
        <v>0</v>
      </c>
      <c r="M46" s="4">
        <f t="shared" ref="M46:M56" si="68">IF(O46&gt;120,G46,0)</f>
        <v>0</v>
      </c>
      <c r="N46" s="4">
        <f t="shared" ref="N46:N56" si="69">IF(O46&gt;60,G46,0)</f>
        <v>748</v>
      </c>
      <c r="O46" s="5">
        <f t="shared" ref="O46:O56" si="70">Q46-B46</f>
        <v>61</v>
      </c>
      <c r="P46" s="6" t="str">
        <f t="shared" ref="P46:P56" si="71">IF(AND(O46&lt;=30),"30 Days",IF(AND(O46&gt;30,O46&lt;=45),"31 TO 45 Days",IF(AND(O46&gt;45,O46&lt;=60),"46 To 60 Days",IF(AND(O46&gt;60,O46&lt;=90),"61 To 90 Days",IF(AND(O46&gt;90,O46&lt;=120),"91 To 120 Days",IF(AND(O46&gt;120),"Plus120Days",))))))</f>
        <v>61 To 90 Days</v>
      </c>
      <c r="Q46" s="7">
        <v>42855</v>
      </c>
      <c r="R46" s="6" t="s">
        <v>2178</v>
      </c>
      <c r="V46" s="1" t="s">
        <v>13</v>
      </c>
      <c r="W46" s="2">
        <v>42796</v>
      </c>
      <c r="X46" s="1" t="s">
        <v>14</v>
      </c>
      <c r="Y46" s="1" t="str">
        <f>"4812068724"</f>
        <v>4812068724</v>
      </c>
    </row>
    <row r="47" spans="1:25" x14ac:dyDescent="0.2">
      <c r="A47" s="9" t="s">
        <v>1604</v>
      </c>
      <c r="B47" s="10">
        <v>42826</v>
      </c>
      <c r="C47" s="9" t="s">
        <v>1605</v>
      </c>
      <c r="D47" s="9" t="s">
        <v>269</v>
      </c>
      <c r="E47" s="9" t="s">
        <v>2190</v>
      </c>
      <c r="F47" s="9">
        <v>0</v>
      </c>
      <c r="G47" s="8">
        <v>748</v>
      </c>
      <c r="H47" s="4">
        <f t="shared" si="63"/>
        <v>748</v>
      </c>
      <c r="I47" s="4">
        <f t="shared" si="64"/>
        <v>0</v>
      </c>
      <c r="J47" s="4">
        <f t="shared" si="65"/>
        <v>0</v>
      </c>
      <c r="K47" s="4">
        <f t="shared" si="66"/>
        <v>0</v>
      </c>
      <c r="L47" s="4">
        <f t="shared" si="67"/>
        <v>0</v>
      </c>
      <c r="M47" s="4">
        <f t="shared" si="68"/>
        <v>0</v>
      </c>
      <c r="N47" s="4">
        <f t="shared" si="69"/>
        <v>0</v>
      </c>
      <c r="O47" s="5">
        <f t="shared" si="70"/>
        <v>29</v>
      </c>
      <c r="P47" s="6" t="str">
        <f t="shared" si="71"/>
        <v>30 Days</v>
      </c>
      <c r="Q47" s="7">
        <v>42855</v>
      </c>
      <c r="R47" s="6" t="s">
        <v>2178</v>
      </c>
      <c r="Y47" s="1" t="str">
        <f>"423609961"</f>
        <v>423609961</v>
      </c>
    </row>
    <row r="48" spans="1:25" x14ac:dyDescent="0.2">
      <c r="A48" s="9" t="s">
        <v>1612</v>
      </c>
      <c r="B48" s="10">
        <v>42828</v>
      </c>
      <c r="C48" s="9" t="s">
        <v>1613</v>
      </c>
      <c r="D48" s="9" t="s">
        <v>269</v>
      </c>
      <c r="E48" s="9" t="s">
        <v>2190</v>
      </c>
      <c r="F48" s="9">
        <v>0</v>
      </c>
      <c r="G48" s="8">
        <v>748</v>
      </c>
      <c r="H48" s="4">
        <f t="shared" si="63"/>
        <v>748</v>
      </c>
      <c r="I48" s="4">
        <f t="shared" si="64"/>
        <v>0</v>
      </c>
      <c r="J48" s="4">
        <f t="shared" si="65"/>
        <v>0</v>
      </c>
      <c r="K48" s="4">
        <f t="shared" si="66"/>
        <v>0</v>
      </c>
      <c r="L48" s="4">
        <f t="shared" si="67"/>
        <v>0</v>
      </c>
      <c r="M48" s="4">
        <f t="shared" si="68"/>
        <v>0</v>
      </c>
      <c r="N48" s="4">
        <f t="shared" si="69"/>
        <v>0</v>
      </c>
      <c r="O48" s="5">
        <f t="shared" si="70"/>
        <v>27</v>
      </c>
      <c r="P48" s="6" t="str">
        <f t="shared" si="71"/>
        <v>30 Days</v>
      </c>
      <c r="Q48" s="7">
        <v>42855</v>
      </c>
      <c r="R48" s="6" t="s">
        <v>2178</v>
      </c>
      <c r="Y48" s="1" t="str">
        <f>"423610326"</f>
        <v>423610326</v>
      </c>
    </row>
    <row r="49" spans="1:25" x14ac:dyDescent="0.2">
      <c r="A49" s="9" t="s">
        <v>1614</v>
      </c>
      <c r="B49" s="10">
        <v>42828</v>
      </c>
      <c r="C49" s="9" t="s">
        <v>1615</v>
      </c>
      <c r="D49" s="9" t="s">
        <v>269</v>
      </c>
      <c r="E49" s="9" t="s">
        <v>2190</v>
      </c>
      <c r="F49" s="9">
        <v>0</v>
      </c>
      <c r="G49" s="8">
        <v>748</v>
      </c>
      <c r="H49" s="4">
        <f t="shared" si="63"/>
        <v>748</v>
      </c>
      <c r="I49" s="4">
        <f t="shared" si="64"/>
        <v>0</v>
      </c>
      <c r="J49" s="4">
        <f t="shared" si="65"/>
        <v>0</v>
      </c>
      <c r="K49" s="4">
        <f t="shared" si="66"/>
        <v>0</v>
      </c>
      <c r="L49" s="4">
        <f t="shared" si="67"/>
        <v>0</v>
      </c>
      <c r="M49" s="4">
        <f t="shared" si="68"/>
        <v>0</v>
      </c>
      <c r="N49" s="4">
        <f t="shared" si="69"/>
        <v>0</v>
      </c>
      <c r="O49" s="5">
        <f t="shared" si="70"/>
        <v>27</v>
      </c>
      <c r="P49" s="6" t="str">
        <f t="shared" si="71"/>
        <v>30 Days</v>
      </c>
      <c r="Q49" s="7">
        <v>42855</v>
      </c>
      <c r="R49" s="6" t="s">
        <v>2178</v>
      </c>
      <c r="Y49" s="1" t="str">
        <f>"423610121"</f>
        <v>423610121</v>
      </c>
    </row>
    <row r="50" spans="1:25" x14ac:dyDescent="0.2">
      <c r="A50" s="9" t="s">
        <v>1616</v>
      </c>
      <c r="B50" s="10">
        <v>42828</v>
      </c>
      <c r="C50" s="9" t="s">
        <v>1617</v>
      </c>
      <c r="D50" s="9" t="s">
        <v>269</v>
      </c>
      <c r="E50" s="9" t="s">
        <v>2190</v>
      </c>
      <c r="F50" s="9">
        <v>0</v>
      </c>
      <c r="G50" s="8">
        <v>748</v>
      </c>
      <c r="H50" s="4">
        <f t="shared" si="63"/>
        <v>748</v>
      </c>
      <c r="I50" s="4">
        <f t="shared" si="64"/>
        <v>0</v>
      </c>
      <c r="J50" s="4">
        <f t="shared" si="65"/>
        <v>0</v>
      </c>
      <c r="K50" s="4">
        <f t="shared" si="66"/>
        <v>0</v>
      </c>
      <c r="L50" s="4">
        <f t="shared" si="67"/>
        <v>0</v>
      </c>
      <c r="M50" s="4">
        <f t="shared" si="68"/>
        <v>0</v>
      </c>
      <c r="N50" s="4">
        <f t="shared" si="69"/>
        <v>0</v>
      </c>
      <c r="O50" s="5">
        <f t="shared" si="70"/>
        <v>27</v>
      </c>
      <c r="P50" s="6" t="str">
        <f t="shared" si="71"/>
        <v>30 Days</v>
      </c>
      <c r="Q50" s="7">
        <v>42855</v>
      </c>
      <c r="R50" s="6" t="s">
        <v>2178</v>
      </c>
      <c r="Y50" s="1" t="str">
        <f>"423610143"</f>
        <v>423610143</v>
      </c>
    </row>
    <row r="51" spans="1:25" x14ac:dyDescent="0.2">
      <c r="A51" s="9" t="s">
        <v>1618</v>
      </c>
      <c r="B51" s="10">
        <v>42828</v>
      </c>
      <c r="C51" s="9" t="s">
        <v>1619</v>
      </c>
      <c r="D51" s="9" t="s">
        <v>269</v>
      </c>
      <c r="E51" s="9" t="s">
        <v>2190</v>
      </c>
      <c r="F51" s="9">
        <v>0</v>
      </c>
      <c r="G51" s="8">
        <v>748</v>
      </c>
      <c r="H51" s="4">
        <f t="shared" si="63"/>
        <v>748</v>
      </c>
      <c r="I51" s="4">
        <f t="shared" si="64"/>
        <v>0</v>
      </c>
      <c r="J51" s="4">
        <f t="shared" si="65"/>
        <v>0</v>
      </c>
      <c r="K51" s="4">
        <f t="shared" si="66"/>
        <v>0</v>
      </c>
      <c r="L51" s="4">
        <f t="shared" si="67"/>
        <v>0</v>
      </c>
      <c r="M51" s="4">
        <f t="shared" si="68"/>
        <v>0</v>
      </c>
      <c r="N51" s="4">
        <f t="shared" si="69"/>
        <v>0</v>
      </c>
      <c r="O51" s="5">
        <f t="shared" si="70"/>
        <v>27</v>
      </c>
      <c r="P51" s="6" t="str">
        <f t="shared" si="71"/>
        <v>30 Days</v>
      </c>
      <c r="Q51" s="7">
        <v>42855</v>
      </c>
      <c r="R51" s="6" t="s">
        <v>2178</v>
      </c>
      <c r="Y51" s="1" t="str">
        <f>"423610337"</f>
        <v>423610337</v>
      </c>
    </row>
    <row r="52" spans="1:25" x14ac:dyDescent="0.2">
      <c r="A52" s="9" t="s">
        <v>1918</v>
      </c>
      <c r="B52" s="10">
        <v>42835</v>
      </c>
      <c r="C52" s="9" t="s">
        <v>1919</v>
      </c>
      <c r="D52" s="9" t="s">
        <v>269</v>
      </c>
      <c r="E52" s="9" t="s">
        <v>2190</v>
      </c>
      <c r="F52" s="9">
        <v>0</v>
      </c>
      <c r="G52" s="8">
        <v>748</v>
      </c>
      <c r="H52" s="4">
        <f t="shared" si="63"/>
        <v>748</v>
      </c>
      <c r="I52" s="4">
        <f t="shared" si="64"/>
        <v>0</v>
      </c>
      <c r="J52" s="4">
        <f t="shared" si="65"/>
        <v>0</v>
      </c>
      <c r="K52" s="4">
        <f t="shared" si="66"/>
        <v>0</v>
      </c>
      <c r="L52" s="4">
        <f t="shared" si="67"/>
        <v>0</v>
      </c>
      <c r="M52" s="4">
        <f t="shared" si="68"/>
        <v>0</v>
      </c>
      <c r="N52" s="4">
        <f t="shared" si="69"/>
        <v>0</v>
      </c>
      <c r="O52" s="5">
        <f t="shared" si="70"/>
        <v>20</v>
      </c>
      <c r="P52" s="6" t="str">
        <f t="shared" si="71"/>
        <v>30 Days</v>
      </c>
      <c r="Q52" s="7">
        <v>42855</v>
      </c>
      <c r="R52" s="6" t="str">
        <f>VLOOKUP(A52:A1514,[1]BOM_INV_OPERATOR_DETAILS_OUTPUT!$A$2:$D$1233,4,FALSE)</f>
        <v>AI</v>
      </c>
      <c r="Y52" s="1" t="str">
        <f>"423610497"</f>
        <v>423610497</v>
      </c>
    </row>
    <row r="53" spans="1:25" x14ac:dyDescent="0.2">
      <c r="A53" s="9" t="s">
        <v>2095</v>
      </c>
      <c r="B53" s="10">
        <v>42838</v>
      </c>
      <c r="C53" s="9" t="s">
        <v>2096</v>
      </c>
      <c r="D53" s="9" t="s">
        <v>269</v>
      </c>
      <c r="E53" s="9" t="s">
        <v>2190</v>
      </c>
      <c r="F53" s="9">
        <v>0</v>
      </c>
      <c r="G53" s="8">
        <v>748</v>
      </c>
      <c r="H53" s="4">
        <f t="shared" si="63"/>
        <v>748</v>
      </c>
      <c r="I53" s="4">
        <f t="shared" si="64"/>
        <v>0</v>
      </c>
      <c r="J53" s="4">
        <f t="shared" si="65"/>
        <v>0</v>
      </c>
      <c r="K53" s="4">
        <f t="shared" si="66"/>
        <v>0</v>
      </c>
      <c r="L53" s="4">
        <f t="shared" si="67"/>
        <v>0</v>
      </c>
      <c r="M53" s="4">
        <f t="shared" si="68"/>
        <v>0</v>
      </c>
      <c r="N53" s="4">
        <f t="shared" si="69"/>
        <v>0</v>
      </c>
      <c r="O53" s="5">
        <f t="shared" si="70"/>
        <v>17</v>
      </c>
      <c r="P53" s="6" t="str">
        <f t="shared" si="71"/>
        <v>30 Days</v>
      </c>
      <c r="Q53" s="7">
        <v>42855</v>
      </c>
      <c r="R53" s="6" t="str">
        <f>VLOOKUP(A53:A1515,[1]BOM_INV_OPERATOR_DETAILS_OUTPUT!$A$2:$D$1233,4,FALSE)</f>
        <v>AI</v>
      </c>
      <c r="Y53" s="1" t="str">
        <f>"423610567"</f>
        <v>423610567</v>
      </c>
    </row>
    <row r="54" spans="1:25" x14ac:dyDescent="0.2">
      <c r="A54" s="9" t="s">
        <v>2097</v>
      </c>
      <c r="B54" s="10">
        <v>42838</v>
      </c>
      <c r="C54" s="9" t="s">
        <v>2098</v>
      </c>
      <c r="D54" s="9" t="s">
        <v>269</v>
      </c>
      <c r="E54" s="9" t="s">
        <v>2190</v>
      </c>
      <c r="F54" s="9">
        <v>0</v>
      </c>
      <c r="G54" s="8">
        <v>748</v>
      </c>
      <c r="H54" s="4">
        <f t="shared" si="63"/>
        <v>748</v>
      </c>
      <c r="I54" s="4">
        <f t="shared" si="64"/>
        <v>0</v>
      </c>
      <c r="J54" s="4">
        <f t="shared" si="65"/>
        <v>0</v>
      </c>
      <c r="K54" s="4">
        <f t="shared" si="66"/>
        <v>0</v>
      </c>
      <c r="L54" s="4">
        <f t="shared" si="67"/>
        <v>0</v>
      </c>
      <c r="M54" s="4">
        <f t="shared" si="68"/>
        <v>0</v>
      </c>
      <c r="N54" s="4">
        <f t="shared" si="69"/>
        <v>0</v>
      </c>
      <c r="O54" s="5">
        <f t="shared" si="70"/>
        <v>17</v>
      </c>
      <c r="P54" s="6" t="str">
        <f t="shared" si="71"/>
        <v>30 Days</v>
      </c>
      <c r="Q54" s="7">
        <v>42855</v>
      </c>
      <c r="R54" s="6" t="str">
        <f>VLOOKUP(A54:A1516,[1]BOM_INV_OPERATOR_DETAILS_OUTPUT!$A$2:$D$1233,4,FALSE)</f>
        <v>AI</v>
      </c>
      <c r="Y54" s="1" t="str">
        <f>"423610623"</f>
        <v>423610623</v>
      </c>
    </row>
    <row r="55" spans="1:25" x14ac:dyDescent="0.2">
      <c r="A55" s="9" t="s">
        <v>115</v>
      </c>
      <c r="B55" s="10">
        <v>42509</v>
      </c>
      <c r="C55" s="9" t="s">
        <v>116</v>
      </c>
      <c r="D55" s="9" t="s">
        <v>21</v>
      </c>
      <c r="E55" s="9" t="s">
        <v>2190</v>
      </c>
      <c r="F55" s="9">
        <v>0</v>
      </c>
      <c r="G55" s="8">
        <v>764</v>
      </c>
      <c r="H55" s="4">
        <f t="shared" si="63"/>
        <v>0</v>
      </c>
      <c r="I55" s="4">
        <f t="shared" si="64"/>
        <v>0</v>
      </c>
      <c r="J55" s="4">
        <f t="shared" si="65"/>
        <v>0</v>
      </c>
      <c r="K55" s="4">
        <f t="shared" si="66"/>
        <v>0</v>
      </c>
      <c r="L55" s="4">
        <f t="shared" si="67"/>
        <v>0</v>
      </c>
      <c r="M55" s="4">
        <f t="shared" si="68"/>
        <v>764</v>
      </c>
      <c r="N55" s="4">
        <f t="shared" si="69"/>
        <v>764</v>
      </c>
      <c r="O55" s="5">
        <f t="shared" si="70"/>
        <v>346</v>
      </c>
      <c r="P55" s="6" t="str">
        <f t="shared" si="71"/>
        <v>Plus120Days</v>
      </c>
      <c r="Q55" s="7">
        <v>42855</v>
      </c>
      <c r="R55" s="6" t="s">
        <v>2178</v>
      </c>
      <c r="Y55" s="1" t="str">
        <f>"4912678816"</f>
        <v>4912678816</v>
      </c>
    </row>
    <row r="56" spans="1:25" x14ac:dyDescent="0.2">
      <c r="A56" s="9" t="s">
        <v>2145</v>
      </c>
      <c r="B56" s="10">
        <v>42840</v>
      </c>
      <c r="C56" s="9" t="s">
        <v>2146</v>
      </c>
      <c r="D56" s="9" t="s">
        <v>269</v>
      </c>
      <c r="E56" s="9" t="s">
        <v>2190</v>
      </c>
      <c r="F56" s="9">
        <v>0</v>
      </c>
      <c r="G56" s="8">
        <v>794</v>
      </c>
      <c r="H56" s="4">
        <f t="shared" si="63"/>
        <v>794</v>
      </c>
      <c r="I56" s="4">
        <f t="shared" si="64"/>
        <v>0</v>
      </c>
      <c r="J56" s="4">
        <f t="shared" si="65"/>
        <v>0</v>
      </c>
      <c r="K56" s="4">
        <f t="shared" si="66"/>
        <v>0</v>
      </c>
      <c r="L56" s="4">
        <f t="shared" si="67"/>
        <v>0</v>
      </c>
      <c r="M56" s="4">
        <f t="shared" si="68"/>
        <v>0</v>
      </c>
      <c r="N56" s="4">
        <f t="shared" si="69"/>
        <v>0</v>
      </c>
      <c r="O56" s="5">
        <f t="shared" si="70"/>
        <v>15</v>
      </c>
      <c r="P56" s="6" t="str">
        <f t="shared" si="71"/>
        <v>30 Days</v>
      </c>
      <c r="Q56" s="7">
        <v>42855</v>
      </c>
      <c r="R56" s="6" t="str">
        <f>VLOOKUP(A56:A1550,[1]BOM_INV_OPERATOR_DETAILS_OUTPUT!$A$2:$D$1233,4,FALSE)</f>
        <v>AI</v>
      </c>
      <c r="Y56" s="1" t="str">
        <f>"423610671"</f>
        <v>423610671</v>
      </c>
    </row>
    <row r="57" spans="1:25" x14ac:dyDescent="0.2">
      <c r="A57" s="9" t="s">
        <v>1058</v>
      </c>
      <c r="B57" s="10">
        <v>42811</v>
      </c>
      <c r="C57" s="9" t="s">
        <v>267</v>
      </c>
      <c r="D57" s="9" t="s">
        <v>266</v>
      </c>
      <c r="E57" s="9" t="s">
        <v>2190</v>
      </c>
      <c r="F57" s="9">
        <v>0</v>
      </c>
      <c r="G57" s="8">
        <v>832</v>
      </c>
      <c r="H57" s="4">
        <f t="shared" ref="H57" si="72">IF(O57&lt;=30,G57,0)</f>
        <v>0</v>
      </c>
      <c r="I57" s="4">
        <f t="shared" ref="I57" si="73">IF(AND(O57&gt;30,O57&lt;=45),G57,0)</f>
        <v>832</v>
      </c>
      <c r="J57" s="4">
        <f t="shared" ref="J57" si="74">IF(AND(O57&gt;45,O57&lt;=60),G57,0)</f>
        <v>0</v>
      </c>
      <c r="K57" s="4">
        <f t="shared" ref="K57" si="75">IF(AND(O57&gt;60,O57&lt;=90),G57,0)</f>
        <v>0</v>
      </c>
      <c r="L57" s="4">
        <f t="shared" ref="L57" si="76">IF(AND(O57&gt;90,O57&lt;=120),G57,0)</f>
        <v>0</v>
      </c>
      <c r="M57" s="4">
        <f t="shared" ref="M57" si="77">IF(O57&gt;120,G57,0)</f>
        <v>0</v>
      </c>
      <c r="N57" s="4">
        <f t="shared" ref="N57" si="78">IF(O57&gt;60,G57,0)</f>
        <v>0</v>
      </c>
      <c r="O57" s="5">
        <f t="shared" ref="O57" si="79">Q57-B57</f>
        <v>44</v>
      </c>
      <c r="P57" s="6" t="str">
        <f t="shared" ref="P57" si="80">IF(AND(O57&lt;=30),"30 Days",IF(AND(O57&gt;30,O57&lt;=45),"31 TO 45 Days",IF(AND(O57&gt;45,O57&lt;=60),"46 To 60 Days",IF(AND(O57&gt;60,O57&lt;=90),"61 To 90 Days",IF(AND(O57&gt;90,O57&lt;=120),"91 To 120 Days",IF(AND(O57&gt;120),"Plus120Days",))))))</f>
        <v>31 TO 45 Days</v>
      </c>
      <c r="Q57" s="7">
        <v>42855</v>
      </c>
      <c r="R57" s="6" t="s">
        <v>2178</v>
      </c>
      <c r="Y57" s="1" t="str">
        <f>"4540131009"</f>
        <v>4540131009</v>
      </c>
    </row>
    <row r="58" spans="1:25" x14ac:dyDescent="0.2">
      <c r="A58" s="9" t="s">
        <v>716</v>
      </c>
      <c r="B58" s="10">
        <v>42825</v>
      </c>
      <c r="C58" s="9" t="s">
        <v>716</v>
      </c>
      <c r="D58" s="9" t="s">
        <v>144</v>
      </c>
      <c r="E58" s="9" t="s">
        <v>2190</v>
      </c>
      <c r="F58" s="9">
        <v>2300000</v>
      </c>
      <c r="G58" s="8">
        <v>880</v>
      </c>
      <c r="H58" s="4">
        <f t="shared" ref="H58:H63" si="81">IF(O58&lt;=30,G58,0)</f>
        <v>880</v>
      </c>
      <c r="I58" s="4">
        <f t="shared" ref="I58:I63" si="82">IF(AND(O58&gt;30,O58&lt;=45),G58,0)</f>
        <v>0</v>
      </c>
      <c r="J58" s="4">
        <f t="shared" ref="J58:J63" si="83">IF(AND(O58&gt;45,O58&lt;=60),G58,0)</f>
        <v>0</v>
      </c>
      <c r="K58" s="4">
        <f t="shared" ref="K58:K63" si="84">IF(AND(O58&gt;60,O58&lt;=90),G58,0)</f>
        <v>0</v>
      </c>
      <c r="L58" s="4">
        <f t="shared" ref="L58:L63" si="85">IF(AND(O58&gt;90,O58&lt;=120),G58,0)</f>
        <v>0</v>
      </c>
      <c r="M58" s="4">
        <f t="shared" ref="M58:M63" si="86">IF(O58&gt;120,G58,0)</f>
        <v>0</v>
      </c>
      <c r="N58" s="4">
        <f t="shared" ref="N58:N63" si="87">IF(O58&gt;60,G58,0)</f>
        <v>0</v>
      </c>
      <c r="O58" s="5">
        <f t="shared" ref="O58:O63" si="88">Q58-B58</f>
        <v>30</v>
      </c>
      <c r="P58" s="6" t="str">
        <f t="shared" ref="P58:P63" si="89">IF(AND(O58&lt;=30),"30 Days",IF(AND(O58&gt;30,O58&lt;=45),"31 TO 45 Days",IF(AND(O58&gt;45,O58&lt;=60),"46 To 60 Days",IF(AND(O58&gt;60,O58&lt;=90),"61 To 90 Days",IF(AND(O58&gt;90,O58&lt;=120),"91 To 120 Days",IF(AND(O58&gt;120),"Plus120Days",))))))</f>
        <v>30 Days</v>
      </c>
      <c r="Q58" s="7">
        <v>42855</v>
      </c>
      <c r="R58" s="6" t="s">
        <v>2178</v>
      </c>
    </row>
    <row r="59" spans="1:25" x14ac:dyDescent="0.2">
      <c r="A59" s="9" t="s">
        <v>79</v>
      </c>
      <c r="B59" s="10">
        <v>42494</v>
      </c>
      <c r="C59" s="9" t="s">
        <v>80</v>
      </c>
      <c r="D59" s="9" t="s">
        <v>21</v>
      </c>
      <c r="E59" s="9" t="s">
        <v>2190</v>
      </c>
      <c r="F59" s="9">
        <v>0</v>
      </c>
      <c r="G59" s="8">
        <v>883</v>
      </c>
      <c r="H59" s="4">
        <f t="shared" si="81"/>
        <v>0</v>
      </c>
      <c r="I59" s="4">
        <f t="shared" si="82"/>
        <v>0</v>
      </c>
      <c r="J59" s="4">
        <f t="shared" si="83"/>
        <v>0</v>
      </c>
      <c r="K59" s="4">
        <f t="shared" si="84"/>
        <v>0</v>
      </c>
      <c r="L59" s="4">
        <f t="shared" si="85"/>
        <v>0</v>
      </c>
      <c r="M59" s="4">
        <f t="shared" si="86"/>
        <v>883</v>
      </c>
      <c r="N59" s="4">
        <f t="shared" si="87"/>
        <v>883</v>
      </c>
      <c r="O59" s="5">
        <f t="shared" si="88"/>
        <v>361</v>
      </c>
      <c r="P59" s="6" t="str">
        <f t="shared" si="89"/>
        <v>Plus120Days</v>
      </c>
      <c r="Q59" s="7">
        <v>42855</v>
      </c>
      <c r="R59" s="6" t="s">
        <v>2178</v>
      </c>
      <c r="Y59" s="1" t="str">
        <f>"413766621"</f>
        <v>413766621</v>
      </c>
    </row>
    <row r="60" spans="1:25" x14ac:dyDescent="0.2">
      <c r="A60" s="9" t="s">
        <v>22</v>
      </c>
      <c r="B60" s="10">
        <v>42514</v>
      </c>
      <c r="C60" s="9" t="s">
        <v>23</v>
      </c>
      <c r="D60" s="9" t="s">
        <v>21</v>
      </c>
      <c r="E60" s="9" t="s">
        <v>2190</v>
      </c>
      <c r="F60" s="9">
        <v>0</v>
      </c>
      <c r="G60" s="8">
        <v>887</v>
      </c>
      <c r="H60" s="4">
        <f t="shared" si="81"/>
        <v>0</v>
      </c>
      <c r="I60" s="4">
        <f t="shared" si="82"/>
        <v>0</v>
      </c>
      <c r="J60" s="4">
        <f t="shared" si="83"/>
        <v>0</v>
      </c>
      <c r="K60" s="4">
        <f t="shared" si="84"/>
        <v>0</v>
      </c>
      <c r="L60" s="4">
        <f t="shared" si="85"/>
        <v>0</v>
      </c>
      <c r="M60" s="4">
        <f t="shared" si="86"/>
        <v>887</v>
      </c>
      <c r="N60" s="4">
        <f t="shared" si="87"/>
        <v>887</v>
      </c>
      <c r="O60" s="5">
        <f t="shared" si="88"/>
        <v>341</v>
      </c>
      <c r="P60" s="6" t="str">
        <f t="shared" si="89"/>
        <v>Plus120Days</v>
      </c>
      <c r="Q60" s="7">
        <v>42855</v>
      </c>
      <c r="R60" s="6" t="s">
        <v>2178</v>
      </c>
      <c r="Y60" s="1" t="str">
        <f>"4870142190"</f>
        <v>4870142190</v>
      </c>
    </row>
    <row r="61" spans="1:25" x14ac:dyDescent="0.2">
      <c r="A61" s="9" t="s">
        <v>2147</v>
      </c>
      <c r="B61" s="10">
        <v>42840</v>
      </c>
      <c r="C61" s="9" t="s">
        <v>2148</v>
      </c>
      <c r="D61" s="9" t="s">
        <v>269</v>
      </c>
      <c r="E61" s="9" t="s">
        <v>2190</v>
      </c>
      <c r="F61" s="9">
        <v>0</v>
      </c>
      <c r="G61" s="8">
        <v>907</v>
      </c>
      <c r="H61" s="4">
        <f t="shared" si="81"/>
        <v>907</v>
      </c>
      <c r="I61" s="4">
        <f t="shared" si="82"/>
        <v>0</v>
      </c>
      <c r="J61" s="4">
        <f t="shared" si="83"/>
        <v>0</v>
      </c>
      <c r="K61" s="4">
        <f t="shared" si="84"/>
        <v>0</v>
      </c>
      <c r="L61" s="4">
        <f t="shared" si="85"/>
        <v>0</v>
      </c>
      <c r="M61" s="4">
        <f t="shared" si="86"/>
        <v>0</v>
      </c>
      <c r="N61" s="4">
        <f t="shared" si="87"/>
        <v>0</v>
      </c>
      <c r="O61" s="5">
        <f t="shared" si="88"/>
        <v>15</v>
      </c>
      <c r="P61" s="6" t="str">
        <f t="shared" si="89"/>
        <v>30 Days</v>
      </c>
      <c r="Q61" s="7">
        <v>42855</v>
      </c>
      <c r="R61" s="6" t="str">
        <f>VLOOKUP(A61:A1640,[1]BOM_INV_OPERATOR_DETAILS_OUTPUT!$A$2:$D$1233,4,FALSE)</f>
        <v>AI</v>
      </c>
      <c r="Y61" s="1" t="str">
        <f>"423610670"</f>
        <v>423610670</v>
      </c>
    </row>
    <row r="62" spans="1:25" x14ac:dyDescent="0.2">
      <c r="A62" s="9" t="s">
        <v>57</v>
      </c>
      <c r="B62" s="10">
        <v>42492</v>
      </c>
      <c r="C62" s="9" t="s">
        <v>58</v>
      </c>
      <c r="D62" s="9" t="s">
        <v>21</v>
      </c>
      <c r="E62" s="9" t="s">
        <v>2190</v>
      </c>
      <c r="F62" s="9">
        <v>0</v>
      </c>
      <c r="G62" s="8">
        <v>950</v>
      </c>
      <c r="H62" s="4">
        <f t="shared" si="81"/>
        <v>0</v>
      </c>
      <c r="I62" s="4">
        <f t="shared" si="82"/>
        <v>0</v>
      </c>
      <c r="J62" s="4">
        <f t="shared" si="83"/>
        <v>0</v>
      </c>
      <c r="K62" s="4">
        <f t="shared" si="84"/>
        <v>0</v>
      </c>
      <c r="L62" s="4">
        <f t="shared" si="85"/>
        <v>0</v>
      </c>
      <c r="M62" s="4">
        <f t="shared" si="86"/>
        <v>950</v>
      </c>
      <c r="N62" s="4">
        <f t="shared" si="87"/>
        <v>950</v>
      </c>
      <c r="O62" s="5">
        <f t="shared" si="88"/>
        <v>363</v>
      </c>
      <c r="P62" s="6" t="str">
        <f t="shared" si="89"/>
        <v>Plus120Days</v>
      </c>
      <c r="Q62" s="7">
        <v>42855</v>
      </c>
      <c r="R62" s="6" t="s">
        <v>2178</v>
      </c>
      <c r="Y62" s="1" t="str">
        <f>"416333003"</f>
        <v>416333003</v>
      </c>
    </row>
    <row r="63" spans="1:25" x14ac:dyDescent="0.2">
      <c r="A63" s="9" t="s">
        <v>1984</v>
      </c>
      <c r="B63" s="10">
        <v>42836</v>
      </c>
      <c r="C63" s="9" t="s">
        <v>1985</v>
      </c>
      <c r="D63" s="9" t="s">
        <v>269</v>
      </c>
      <c r="E63" s="9" t="s">
        <v>2190</v>
      </c>
      <c r="F63" s="9">
        <v>0</v>
      </c>
      <c r="G63" s="8">
        <v>966</v>
      </c>
      <c r="H63" s="4">
        <f t="shared" si="81"/>
        <v>966</v>
      </c>
      <c r="I63" s="4">
        <f t="shared" si="82"/>
        <v>0</v>
      </c>
      <c r="J63" s="4">
        <f t="shared" si="83"/>
        <v>0</v>
      </c>
      <c r="K63" s="4">
        <f t="shared" si="84"/>
        <v>0</v>
      </c>
      <c r="L63" s="4">
        <f t="shared" si="85"/>
        <v>0</v>
      </c>
      <c r="M63" s="4">
        <f t="shared" si="86"/>
        <v>0</v>
      </c>
      <c r="N63" s="4">
        <f t="shared" si="87"/>
        <v>0</v>
      </c>
      <c r="O63" s="5">
        <f t="shared" si="88"/>
        <v>19</v>
      </c>
      <c r="P63" s="6" t="str">
        <f t="shared" si="89"/>
        <v>30 Days</v>
      </c>
      <c r="Q63" s="7">
        <v>42855</v>
      </c>
      <c r="R63" s="6" t="str">
        <f>VLOOKUP(A63:A1671,[1]BOM_INV_OPERATOR_DETAILS_OUTPUT!$A$2:$D$1233,4,FALSE)</f>
        <v>AI</v>
      </c>
      <c r="Y63" s="1" t="str">
        <f>"423610496"</f>
        <v>423610496</v>
      </c>
    </row>
    <row r="64" spans="1:25" x14ac:dyDescent="0.2">
      <c r="A64" s="9" t="s">
        <v>137</v>
      </c>
      <c r="B64" s="10">
        <v>42531</v>
      </c>
      <c r="C64" s="9" t="s">
        <v>138</v>
      </c>
      <c r="D64" s="9" t="s">
        <v>54</v>
      </c>
      <c r="E64" s="9" t="s">
        <v>2190</v>
      </c>
      <c r="F64" s="9">
        <v>1300000</v>
      </c>
      <c r="G64" s="8">
        <v>1000</v>
      </c>
      <c r="H64" s="4">
        <f t="shared" ref="H64" si="90">IF(O64&lt;=30,G64,0)</f>
        <v>0</v>
      </c>
      <c r="I64" s="4">
        <f t="shared" ref="I64" si="91">IF(AND(O64&gt;30,O64&lt;=45),G64,0)</f>
        <v>0</v>
      </c>
      <c r="J64" s="4">
        <f t="shared" ref="J64" si="92">IF(AND(O64&gt;45,O64&lt;=60),G64,0)</f>
        <v>0</v>
      </c>
      <c r="K64" s="4">
        <f t="shared" ref="K64" si="93">IF(AND(O64&gt;60,O64&lt;=90),G64,0)</f>
        <v>0</v>
      </c>
      <c r="L64" s="4">
        <f t="shared" ref="L64" si="94">IF(AND(O64&gt;90,O64&lt;=120),G64,0)</f>
        <v>0</v>
      </c>
      <c r="M64" s="4">
        <f t="shared" ref="M64" si="95">IF(O64&gt;120,G64,0)</f>
        <v>1000</v>
      </c>
      <c r="N64" s="4">
        <f t="shared" ref="N64" si="96">IF(O64&gt;60,G64,0)</f>
        <v>1000</v>
      </c>
      <c r="O64" s="5">
        <f t="shared" ref="O64" si="97">Q64-B64</f>
        <v>324</v>
      </c>
      <c r="P64" s="6" t="str">
        <f t="shared" ref="P64" si="98">IF(AND(O64&lt;=30),"30 Days",IF(AND(O64&gt;30,O64&lt;=45),"31 TO 45 Days",IF(AND(O64&gt;45,O64&lt;=60),"46 To 60 Days",IF(AND(O64&gt;60,O64&lt;=90),"61 To 90 Days",IF(AND(O64&gt;90,O64&lt;=120),"91 To 120 Days",IF(AND(O64&gt;120),"Plus120Days",))))))</f>
        <v>Plus120Days</v>
      </c>
      <c r="Q64" s="7">
        <v>42855</v>
      </c>
      <c r="R64" s="6" t="s">
        <v>2178</v>
      </c>
      <c r="Y64" s="1" t="str">
        <f>"412622434"</f>
        <v>412622434</v>
      </c>
    </row>
    <row r="65" spans="1:25" x14ac:dyDescent="0.2">
      <c r="A65" s="9" t="s">
        <v>1317</v>
      </c>
      <c r="B65" s="10">
        <v>42819</v>
      </c>
      <c r="C65" s="9" t="s">
        <v>1042</v>
      </c>
      <c r="D65" s="9" t="s">
        <v>48</v>
      </c>
      <c r="E65" s="9" t="s">
        <v>2190</v>
      </c>
      <c r="F65" s="9">
        <v>300000</v>
      </c>
      <c r="G65" s="8">
        <v>1150</v>
      </c>
      <c r="H65" s="4">
        <f t="shared" ref="H65" si="99">IF(O65&lt;=30,G65,0)</f>
        <v>0</v>
      </c>
      <c r="I65" s="4">
        <f t="shared" ref="I65" si="100">IF(AND(O65&gt;30,O65&lt;=45),G65,0)</f>
        <v>1150</v>
      </c>
      <c r="J65" s="4">
        <f t="shared" ref="J65" si="101">IF(AND(O65&gt;45,O65&lt;=60),G65,0)</f>
        <v>0</v>
      </c>
      <c r="K65" s="4">
        <f t="shared" ref="K65" si="102">IF(AND(O65&gt;60,O65&lt;=90),G65,0)</f>
        <v>0</v>
      </c>
      <c r="L65" s="4">
        <f t="shared" ref="L65" si="103">IF(AND(O65&gt;90,O65&lt;=120),G65,0)</f>
        <v>0</v>
      </c>
      <c r="M65" s="4">
        <f t="shared" ref="M65" si="104">IF(O65&gt;120,G65,0)</f>
        <v>0</v>
      </c>
      <c r="N65" s="4">
        <f t="shared" ref="N65" si="105">IF(O65&gt;60,G65,0)</f>
        <v>0</v>
      </c>
      <c r="O65" s="5">
        <f t="shared" ref="O65" si="106">Q65-B65</f>
        <v>36</v>
      </c>
      <c r="P65" s="6" t="str">
        <f t="shared" ref="P65" si="107">IF(AND(O65&lt;=30),"30 Days",IF(AND(O65&gt;30,O65&lt;=45),"31 TO 45 Days",IF(AND(O65&gt;45,O65&lt;=60),"46 To 60 Days",IF(AND(O65&gt;60,O65&lt;=90),"61 To 90 Days",IF(AND(O65&gt;90,O65&lt;=120),"91 To 120 Days",IF(AND(O65&gt;120),"Plus120Days",))))))</f>
        <v>31 TO 45 Days</v>
      </c>
      <c r="Q65" s="7">
        <v>42855</v>
      </c>
      <c r="R65" s="6" t="s">
        <v>2178</v>
      </c>
      <c r="Y65" s="1" t="str">
        <f>"4560218191"</f>
        <v>4560218191</v>
      </c>
    </row>
    <row r="66" spans="1:25" x14ac:dyDescent="0.2">
      <c r="A66" s="9" t="s">
        <v>1774</v>
      </c>
      <c r="B66" s="10">
        <v>42832</v>
      </c>
      <c r="C66" s="9" t="s">
        <v>1775</v>
      </c>
      <c r="D66" s="9" t="s">
        <v>1773</v>
      </c>
      <c r="E66" s="9" t="s">
        <v>2190</v>
      </c>
      <c r="F66" s="9">
        <v>0</v>
      </c>
      <c r="G66" s="8">
        <v>1316</v>
      </c>
      <c r="H66" s="4">
        <f t="shared" ref="H66:H70" si="108">IF(O66&lt;=30,G66,0)</f>
        <v>1316</v>
      </c>
      <c r="I66" s="4">
        <f t="shared" ref="I66:I70" si="109">IF(AND(O66&gt;30,O66&lt;=45),G66,0)</f>
        <v>0</v>
      </c>
      <c r="J66" s="4">
        <f t="shared" ref="J66:J70" si="110">IF(AND(O66&gt;45,O66&lt;=60),G66,0)</f>
        <v>0</v>
      </c>
      <c r="K66" s="4">
        <f t="shared" ref="K66:K70" si="111">IF(AND(O66&gt;60,O66&lt;=90),G66,0)</f>
        <v>0</v>
      </c>
      <c r="L66" s="4">
        <f t="shared" ref="L66:L70" si="112">IF(AND(O66&gt;90,O66&lt;=120),G66,0)</f>
        <v>0</v>
      </c>
      <c r="M66" s="4">
        <f t="shared" ref="M66:M70" si="113">IF(O66&gt;120,G66,0)</f>
        <v>0</v>
      </c>
      <c r="N66" s="4">
        <f t="shared" ref="N66:N70" si="114">IF(O66&gt;60,G66,0)</f>
        <v>0</v>
      </c>
      <c r="O66" s="5">
        <f t="shared" ref="O66:O70" si="115">Q66-B66</f>
        <v>23</v>
      </c>
      <c r="P66" s="6" t="str">
        <f t="shared" ref="P66:P70" si="116">IF(AND(O66&lt;=30),"30 Days",IF(AND(O66&gt;30,O66&lt;=45),"31 TO 45 Days",IF(AND(O66&gt;45,O66&lt;=60),"46 To 60 Days",IF(AND(O66&gt;60,O66&lt;=90),"61 To 90 Days",IF(AND(O66&gt;90,O66&lt;=120),"91 To 120 Days",IF(AND(O66&gt;120),"Plus120Days",))))))</f>
        <v>30 Days</v>
      </c>
      <c r="Q66" s="7">
        <v>42855</v>
      </c>
      <c r="R66" s="6" t="s">
        <v>2178</v>
      </c>
      <c r="Y66" s="1" t="str">
        <f>"417268511"</f>
        <v>417268511</v>
      </c>
    </row>
    <row r="67" spans="1:25" x14ac:dyDescent="0.2">
      <c r="A67" s="9" t="s">
        <v>1776</v>
      </c>
      <c r="B67" s="10">
        <v>42832</v>
      </c>
      <c r="C67" s="9" t="s">
        <v>1777</v>
      </c>
      <c r="D67" s="9" t="s">
        <v>1773</v>
      </c>
      <c r="E67" s="9" t="s">
        <v>2190</v>
      </c>
      <c r="F67" s="9">
        <v>0</v>
      </c>
      <c r="G67" s="8">
        <v>1318</v>
      </c>
      <c r="H67" s="4">
        <f t="shared" si="108"/>
        <v>1318</v>
      </c>
      <c r="I67" s="4">
        <f t="shared" si="109"/>
        <v>0</v>
      </c>
      <c r="J67" s="4">
        <f t="shared" si="110"/>
        <v>0</v>
      </c>
      <c r="K67" s="4">
        <f t="shared" si="111"/>
        <v>0</v>
      </c>
      <c r="L67" s="4">
        <f t="shared" si="112"/>
        <v>0</v>
      </c>
      <c r="M67" s="4">
        <f t="shared" si="113"/>
        <v>0</v>
      </c>
      <c r="N67" s="4">
        <f t="shared" si="114"/>
        <v>0</v>
      </c>
      <c r="O67" s="5">
        <f t="shared" si="115"/>
        <v>23</v>
      </c>
      <c r="P67" s="6" t="str">
        <f t="shared" si="116"/>
        <v>30 Days</v>
      </c>
      <c r="Q67" s="7">
        <v>42855</v>
      </c>
      <c r="R67" s="6" t="s">
        <v>2178</v>
      </c>
      <c r="Y67" s="1" t="str">
        <f>"417268510"</f>
        <v>417268510</v>
      </c>
    </row>
    <row r="68" spans="1:25" x14ac:dyDescent="0.2">
      <c r="A68" s="9" t="s">
        <v>168</v>
      </c>
      <c r="B68" s="10">
        <v>42698</v>
      </c>
      <c r="C68" s="9" t="s">
        <v>169</v>
      </c>
      <c r="D68" s="9" t="s">
        <v>167</v>
      </c>
      <c r="E68" s="9" t="s">
        <v>2190</v>
      </c>
      <c r="F68" s="9">
        <v>0</v>
      </c>
      <c r="G68" s="8">
        <v>1368</v>
      </c>
      <c r="H68" s="4">
        <f t="shared" si="108"/>
        <v>0</v>
      </c>
      <c r="I68" s="4">
        <f t="shared" si="109"/>
        <v>0</v>
      </c>
      <c r="J68" s="4">
        <f t="shared" si="110"/>
        <v>0</v>
      </c>
      <c r="K68" s="4">
        <f t="shared" si="111"/>
        <v>0</v>
      </c>
      <c r="L68" s="4">
        <f t="shared" si="112"/>
        <v>0</v>
      </c>
      <c r="M68" s="4">
        <f t="shared" si="113"/>
        <v>1368</v>
      </c>
      <c r="N68" s="4">
        <f t="shared" si="114"/>
        <v>1368</v>
      </c>
      <c r="O68" s="5">
        <f t="shared" si="115"/>
        <v>157</v>
      </c>
      <c r="P68" s="6" t="str">
        <f t="shared" si="116"/>
        <v>Plus120Days</v>
      </c>
      <c r="Q68" s="7">
        <v>42855</v>
      </c>
      <c r="R68" s="6" t="s">
        <v>2178</v>
      </c>
      <c r="Y68" s="1" t="str">
        <f>"4480458160"</f>
        <v>4480458160</v>
      </c>
    </row>
    <row r="69" spans="1:25" x14ac:dyDescent="0.2">
      <c r="A69" s="9" t="s">
        <v>855</v>
      </c>
      <c r="B69" s="10">
        <v>42825</v>
      </c>
      <c r="C69" s="9" t="s">
        <v>855</v>
      </c>
      <c r="D69" s="9" t="s">
        <v>144</v>
      </c>
      <c r="E69" s="9" t="s">
        <v>2190</v>
      </c>
      <c r="F69" s="9">
        <v>2300000</v>
      </c>
      <c r="G69" s="8">
        <v>1375</v>
      </c>
      <c r="H69" s="4">
        <f t="shared" si="108"/>
        <v>1375</v>
      </c>
      <c r="I69" s="4">
        <f t="shared" si="109"/>
        <v>0</v>
      </c>
      <c r="J69" s="4">
        <f t="shared" si="110"/>
        <v>0</v>
      </c>
      <c r="K69" s="4">
        <f t="shared" si="111"/>
        <v>0</v>
      </c>
      <c r="L69" s="4">
        <f t="shared" si="112"/>
        <v>0</v>
      </c>
      <c r="M69" s="4">
        <f t="shared" si="113"/>
        <v>0</v>
      </c>
      <c r="N69" s="4">
        <f t="shared" si="114"/>
        <v>0</v>
      </c>
      <c r="O69" s="5">
        <f t="shared" si="115"/>
        <v>30</v>
      </c>
      <c r="P69" s="6" t="str">
        <f t="shared" si="116"/>
        <v>30 Days</v>
      </c>
      <c r="Q69" s="7">
        <v>42855</v>
      </c>
      <c r="R69" s="6" t="s">
        <v>2178</v>
      </c>
    </row>
    <row r="70" spans="1:25" x14ac:dyDescent="0.2">
      <c r="A70" s="9" t="s">
        <v>1524</v>
      </c>
      <c r="B70" s="10">
        <v>42825</v>
      </c>
      <c r="C70" s="9" t="s">
        <v>268</v>
      </c>
      <c r="D70" s="9" t="s">
        <v>42</v>
      </c>
      <c r="E70" s="9" t="s">
        <v>2190</v>
      </c>
      <c r="F70" s="9">
        <v>1480000</v>
      </c>
      <c r="G70" s="8">
        <v>1405</v>
      </c>
      <c r="H70" s="4">
        <f t="shared" si="108"/>
        <v>1405</v>
      </c>
      <c r="I70" s="4">
        <f t="shared" si="109"/>
        <v>0</v>
      </c>
      <c r="J70" s="4">
        <f t="shared" si="110"/>
        <v>0</v>
      </c>
      <c r="K70" s="4">
        <f t="shared" si="111"/>
        <v>0</v>
      </c>
      <c r="L70" s="4">
        <f t="shared" si="112"/>
        <v>0</v>
      </c>
      <c r="M70" s="4">
        <f t="shared" si="113"/>
        <v>0</v>
      </c>
      <c r="N70" s="4">
        <f t="shared" si="114"/>
        <v>0</v>
      </c>
      <c r="O70" s="5">
        <f t="shared" si="115"/>
        <v>30</v>
      </c>
      <c r="P70" s="6" t="str">
        <f t="shared" si="116"/>
        <v>30 Days</v>
      </c>
      <c r="Q70" s="7">
        <v>42855</v>
      </c>
      <c r="R70" s="6" t="s">
        <v>2178</v>
      </c>
      <c r="Y70" s="1" t="str">
        <f>"4395819955"</f>
        <v>4395819955</v>
      </c>
    </row>
    <row r="71" spans="1:25" x14ac:dyDescent="0.2">
      <c r="A71" s="9" t="s">
        <v>1015</v>
      </c>
      <c r="B71" s="10">
        <v>42825</v>
      </c>
      <c r="C71" s="9" t="s">
        <v>1015</v>
      </c>
      <c r="D71" s="9" t="s">
        <v>144</v>
      </c>
      <c r="E71" s="9" t="s">
        <v>2190</v>
      </c>
      <c r="F71" s="9">
        <v>2300000</v>
      </c>
      <c r="G71" s="8">
        <v>1409</v>
      </c>
      <c r="H71" s="4">
        <f t="shared" ref="H71:H94" si="117">IF(O71&lt;=30,G71,0)</f>
        <v>1409</v>
      </c>
      <c r="I71" s="4">
        <f t="shared" ref="I71:I94" si="118">IF(AND(O71&gt;30,O71&lt;=45),G71,0)</f>
        <v>0</v>
      </c>
      <c r="J71" s="4">
        <f t="shared" ref="J71:J94" si="119">IF(AND(O71&gt;45,O71&lt;=60),G71,0)</f>
        <v>0</v>
      </c>
      <c r="K71" s="4">
        <f t="shared" ref="K71:K94" si="120">IF(AND(O71&gt;60,O71&lt;=90),G71,0)</f>
        <v>0</v>
      </c>
      <c r="L71" s="4">
        <f t="shared" ref="L71:L94" si="121">IF(AND(O71&gt;90,O71&lt;=120),G71,0)</f>
        <v>0</v>
      </c>
      <c r="M71" s="4">
        <f t="shared" ref="M71:M94" si="122">IF(O71&gt;120,G71,0)</f>
        <v>0</v>
      </c>
      <c r="N71" s="4">
        <f t="shared" ref="N71:N94" si="123">IF(O71&gt;60,G71,0)</f>
        <v>0</v>
      </c>
      <c r="O71" s="5">
        <f t="shared" ref="O71:O94" si="124">Q71-B71</f>
        <v>30</v>
      </c>
      <c r="P71" s="6" t="str">
        <f t="shared" ref="P71:P94" si="125">IF(AND(O71&lt;=30),"30 Days",IF(AND(O71&gt;30,O71&lt;=45),"31 TO 45 Days",IF(AND(O71&gt;45,O71&lt;=60),"46 To 60 Days",IF(AND(O71&gt;60,O71&lt;=90),"61 To 90 Days",IF(AND(O71&gt;90,O71&lt;=120),"91 To 120 Days",IF(AND(O71&gt;120),"Plus120Days",))))))</f>
        <v>30 Days</v>
      </c>
      <c r="Q71" s="7">
        <v>42855</v>
      </c>
      <c r="R71" s="6" t="s">
        <v>2178</v>
      </c>
    </row>
    <row r="72" spans="1:25" x14ac:dyDescent="0.2">
      <c r="A72" s="9" t="s">
        <v>430</v>
      </c>
      <c r="B72" s="10">
        <v>42766</v>
      </c>
      <c r="C72" s="9" t="s">
        <v>431</v>
      </c>
      <c r="D72" s="9" t="s">
        <v>16</v>
      </c>
      <c r="E72" s="9" t="s">
        <v>2190</v>
      </c>
      <c r="F72" s="9">
        <v>600000</v>
      </c>
      <c r="G72" s="8">
        <v>1438</v>
      </c>
      <c r="H72" s="4">
        <f t="shared" si="117"/>
        <v>0</v>
      </c>
      <c r="I72" s="4">
        <f t="shared" si="118"/>
        <v>0</v>
      </c>
      <c r="J72" s="4">
        <f t="shared" si="119"/>
        <v>0</v>
      </c>
      <c r="K72" s="4">
        <f t="shared" si="120"/>
        <v>1438</v>
      </c>
      <c r="L72" s="4">
        <f t="shared" si="121"/>
        <v>0</v>
      </c>
      <c r="M72" s="4">
        <f t="shared" si="122"/>
        <v>0</v>
      </c>
      <c r="N72" s="4">
        <f t="shared" si="123"/>
        <v>1438</v>
      </c>
      <c r="O72" s="5">
        <f t="shared" si="124"/>
        <v>89</v>
      </c>
      <c r="P72" s="6" t="str">
        <f t="shared" si="125"/>
        <v>61 To 90 Days</v>
      </c>
      <c r="Q72" s="7">
        <v>42855</v>
      </c>
      <c r="R72" s="6" t="s">
        <v>2178</v>
      </c>
      <c r="Y72" s="1" t="str">
        <f>"417267962"</f>
        <v>417267962</v>
      </c>
    </row>
    <row r="73" spans="1:25" x14ac:dyDescent="0.2">
      <c r="A73" s="9" t="s">
        <v>253</v>
      </c>
      <c r="B73" s="10">
        <v>42737</v>
      </c>
      <c r="C73" s="9" t="s">
        <v>254</v>
      </c>
      <c r="D73" s="9" t="s">
        <v>252</v>
      </c>
      <c r="E73" s="9" t="s">
        <v>2190</v>
      </c>
      <c r="F73" s="9">
        <v>20000</v>
      </c>
      <c r="G73" s="8">
        <v>1438</v>
      </c>
      <c r="H73" s="4">
        <f t="shared" si="117"/>
        <v>0</v>
      </c>
      <c r="I73" s="4">
        <f t="shared" si="118"/>
        <v>0</v>
      </c>
      <c r="J73" s="4">
        <f t="shared" si="119"/>
        <v>0</v>
      </c>
      <c r="K73" s="4">
        <f t="shared" si="120"/>
        <v>0</v>
      </c>
      <c r="L73" s="4">
        <f t="shared" si="121"/>
        <v>1438</v>
      </c>
      <c r="M73" s="4">
        <f t="shared" si="122"/>
        <v>0</v>
      </c>
      <c r="N73" s="4">
        <f t="shared" si="123"/>
        <v>1438</v>
      </c>
      <c r="O73" s="5">
        <f t="shared" si="124"/>
        <v>118</v>
      </c>
      <c r="P73" s="6" t="str">
        <f t="shared" si="125"/>
        <v>91 To 120 Days</v>
      </c>
      <c r="Q73" s="7">
        <v>42855</v>
      </c>
      <c r="R73" s="6" t="s">
        <v>2178</v>
      </c>
      <c r="Y73" s="1" t="str">
        <f>"4530145052"</f>
        <v>4530145052</v>
      </c>
    </row>
    <row r="74" spans="1:25" x14ac:dyDescent="0.2">
      <c r="A74" s="9" t="s">
        <v>953</v>
      </c>
      <c r="B74" s="10">
        <v>42803</v>
      </c>
      <c r="C74" s="9" t="s">
        <v>954</v>
      </c>
      <c r="D74" s="9" t="s">
        <v>252</v>
      </c>
      <c r="E74" s="9" t="s">
        <v>2190</v>
      </c>
      <c r="F74" s="9">
        <v>20000</v>
      </c>
      <c r="G74" s="8">
        <v>1438</v>
      </c>
      <c r="H74" s="4">
        <f t="shared" si="117"/>
        <v>0</v>
      </c>
      <c r="I74" s="4">
        <f t="shared" si="118"/>
        <v>0</v>
      </c>
      <c r="J74" s="4">
        <f t="shared" si="119"/>
        <v>1438</v>
      </c>
      <c r="K74" s="4">
        <f t="shared" si="120"/>
        <v>0</v>
      </c>
      <c r="L74" s="4">
        <f t="shared" si="121"/>
        <v>0</v>
      </c>
      <c r="M74" s="4">
        <f t="shared" si="122"/>
        <v>0</v>
      </c>
      <c r="N74" s="4">
        <f t="shared" si="123"/>
        <v>0</v>
      </c>
      <c r="O74" s="5">
        <f t="shared" si="124"/>
        <v>52</v>
      </c>
      <c r="P74" s="6" t="str">
        <f t="shared" si="125"/>
        <v>46 To 60 Days</v>
      </c>
      <c r="Q74" s="7">
        <v>42855</v>
      </c>
      <c r="R74" s="6" t="s">
        <v>2178</v>
      </c>
      <c r="Y74" s="1" t="str">
        <f>"4530146377"</f>
        <v>4530146377</v>
      </c>
    </row>
    <row r="75" spans="1:25" x14ac:dyDescent="0.2">
      <c r="A75" s="9" t="s">
        <v>980</v>
      </c>
      <c r="B75" s="10">
        <v>42804</v>
      </c>
      <c r="C75" s="9" t="s">
        <v>981</v>
      </c>
      <c r="D75" s="9" t="s">
        <v>252</v>
      </c>
      <c r="E75" s="9" t="s">
        <v>2190</v>
      </c>
      <c r="F75" s="9">
        <v>20000</v>
      </c>
      <c r="G75" s="8">
        <v>1438</v>
      </c>
      <c r="H75" s="4">
        <f t="shared" si="117"/>
        <v>0</v>
      </c>
      <c r="I75" s="4">
        <f t="shared" si="118"/>
        <v>0</v>
      </c>
      <c r="J75" s="4">
        <f t="shared" si="119"/>
        <v>1438</v>
      </c>
      <c r="K75" s="4">
        <f t="shared" si="120"/>
        <v>0</v>
      </c>
      <c r="L75" s="4">
        <f t="shared" si="121"/>
        <v>0</v>
      </c>
      <c r="M75" s="4">
        <f t="shared" si="122"/>
        <v>0</v>
      </c>
      <c r="N75" s="4">
        <f t="shared" si="123"/>
        <v>0</v>
      </c>
      <c r="O75" s="5">
        <f t="shared" si="124"/>
        <v>51</v>
      </c>
      <c r="P75" s="6" t="str">
        <f t="shared" si="125"/>
        <v>46 To 60 Days</v>
      </c>
      <c r="Q75" s="7">
        <v>42855</v>
      </c>
      <c r="R75" s="6" t="s">
        <v>2178</v>
      </c>
      <c r="Y75" s="1" t="str">
        <f>"4110237627"</f>
        <v>4110237627</v>
      </c>
    </row>
    <row r="76" spans="1:25" x14ac:dyDescent="0.2">
      <c r="A76" s="9" t="s">
        <v>1252</v>
      </c>
      <c r="B76" s="10">
        <v>42817</v>
      </c>
      <c r="C76" s="9" t="s">
        <v>1253</v>
      </c>
      <c r="D76" s="9" t="s">
        <v>252</v>
      </c>
      <c r="E76" s="9" t="s">
        <v>2190</v>
      </c>
      <c r="F76" s="9">
        <v>20000</v>
      </c>
      <c r="G76" s="8">
        <v>1438</v>
      </c>
      <c r="H76" s="4">
        <f t="shared" si="117"/>
        <v>0</v>
      </c>
      <c r="I76" s="4">
        <f t="shared" si="118"/>
        <v>1438</v>
      </c>
      <c r="J76" s="4">
        <f t="shared" si="119"/>
        <v>0</v>
      </c>
      <c r="K76" s="4">
        <f t="shared" si="120"/>
        <v>0</v>
      </c>
      <c r="L76" s="4">
        <f t="shared" si="121"/>
        <v>0</v>
      </c>
      <c r="M76" s="4">
        <f t="shared" si="122"/>
        <v>0</v>
      </c>
      <c r="N76" s="4">
        <f t="shared" si="123"/>
        <v>0</v>
      </c>
      <c r="O76" s="5">
        <f t="shared" si="124"/>
        <v>38</v>
      </c>
      <c r="P76" s="6" t="str">
        <f t="shared" si="125"/>
        <v>31 TO 45 Days</v>
      </c>
      <c r="Q76" s="7">
        <v>42855</v>
      </c>
      <c r="R76" s="6" t="s">
        <v>2178</v>
      </c>
      <c r="Y76" s="1" t="str">
        <f>"4530146674"</f>
        <v>4530146674</v>
      </c>
    </row>
    <row r="77" spans="1:25" x14ac:dyDescent="0.2">
      <c r="A77" s="9" t="s">
        <v>1320</v>
      </c>
      <c r="B77" s="10">
        <v>42819</v>
      </c>
      <c r="C77" s="9" t="s">
        <v>1321</v>
      </c>
      <c r="D77" s="9" t="s">
        <v>252</v>
      </c>
      <c r="E77" s="9" t="s">
        <v>2190</v>
      </c>
      <c r="F77" s="9">
        <v>20000</v>
      </c>
      <c r="G77" s="8">
        <v>1438</v>
      </c>
      <c r="H77" s="4">
        <f t="shared" si="117"/>
        <v>0</v>
      </c>
      <c r="I77" s="4">
        <f t="shared" si="118"/>
        <v>1438</v>
      </c>
      <c r="J77" s="4">
        <f t="shared" si="119"/>
        <v>0</v>
      </c>
      <c r="K77" s="4">
        <f t="shared" si="120"/>
        <v>0</v>
      </c>
      <c r="L77" s="4">
        <f t="shared" si="121"/>
        <v>0</v>
      </c>
      <c r="M77" s="4">
        <f t="shared" si="122"/>
        <v>0</v>
      </c>
      <c r="N77" s="4">
        <f t="shared" si="123"/>
        <v>0</v>
      </c>
      <c r="O77" s="5">
        <f t="shared" si="124"/>
        <v>36</v>
      </c>
      <c r="P77" s="6" t="str">
        <f t="shared" si="125"/>
        <v>31 TO 45 Days</v>
      </c>
      <c r="Q77" s="7">
        <v>42855</v>
      </c>
      <c r="R77" s="6" t="s">
        <v>2178</v>
      </c>
      <c r="Y77" s="1" t="str">
        <f>"4530146723"</f>
        <v>4530146723</v>
      </c>
    </row>
    <row r="78" spans="1:25" x14ac:dyDescent="0.2">
      <c r="A78" s="9" t="s">
        <v>1340</v>
      </c>
      <c r="B78" s="10">
        <v>42821</v>
      </c>
      <c r="C78" s="9" t="s">
        <v>1341</v>
      </c>
      <c r="D78" s="9" t="s">
        <v>252</v>
      </c>
      <c r="E78" s="9" t="s">
        <v>2190</v>
      </c>
      <c r="F78" s="9">
        <v>20000</v>
      </c>
      <c r="G78" s="8">
        <v>1438</v>
      </c>
      <c r="H78" s="4">
        <f t="shared" si="117"/>
        <v>0</v>
      </c>
      <c r="I78" s="4">
        <f t="shared" si="118"/>
        <v>1438</v>
      </c>
      <c r="J78" s="4">
        <f t="shared" si="119"/>
        <v>0</v>
      </c>
      <c r="K78" s="4">
        <f t="shared" si="120"/>
        <v>0</v>
      </c>
      <c r="L78" s="4">
        <f t="shared" si="121"/>
        <v>0</v>
      </c>
      <c r="M78" s="4">
        <f t="shared" si="122"/>
        <v>0</v>
      </c>
      <c r="N78" s="4">
        <f t="shared" si="123"/>
        <v>0</v>
      </c>
      <c r="O78" s="5">
        <f t="shared" si="124"/>
        <v>34</v>
      </c>
      <c r="P78" s="6" t="str">
        <f t="shared" si="125"/>
        <v>31 TO 45 Days</v>
      </c>
      <c r="Q78" s="7">
        <v>42855</v>
      </c>
      <c r="R78" s="6" t="s">
        <v>2178</v>
      </c>
      <c r="Y78" s="1" t="str">
        <f>"4530146771"</f>
        <v>4530146771</v>
      </c>
    </row>
    <row r="79" spans="1:25" x14ac:dyDescent="0.2">
      <c r="A79" s="9" t="s">
        <v>1342</v>
      </c>
      <c r="B79" s="10">
        <v>42821</v>
      </c>
      <c r="C79" s="9" t="s">
        <v>1343</v>
      </c>
      <c r="D79" s="9" t="s">
        <v>252</v>
      </c>
      <c r="E79" s="9" t="s">
        <v>2190</v>
      </c>
      <c r="F79" s="9">
        <v>20000</v>
      </c>
      <c r="G79" s="8">
        <v>1438</v>
      </c>
      <c r="H79" s="4">
        <f t="shared" si="117"/>
        <v>0</v>
      </c>
      <c r="I79" s="4">
        <f t="shared" si="118"/>
        <v>1438</v>
      </c>
      <c r="J79" s="4">
        <f t="shared" si="119"/>
        <v>0</v>
      </c>
      <c r="K79" s="4">
        <f t="shared" si="120"/>
        <v>0</v>
      </c>
      <c r="L79" s="4">
        <f t="shared" si="121"/>
        <v>0</v>
      </c>
      <c r="M79" s="4">
        <f t="shared" si="122"/>
        <v>0</v>
      </c>
      <c r="N79" s="4">
        <f t="shared" si="123"/>
        <v>0</v>
      </c>
      <c r="O79" s="5">
        <f t="shared" si="124"/>
        <v>34</v>
      </c>
      <c r="P79" s="6" t="str">
        <f t="shared" si="125"/>
        <v>31 TO 45 Days</v>
      </c>
      <c r="Q79" s="7">
        <v>42855</v>
      </c>
      <c r="R79" s="6" t="s">
        <v>2178</v>
      </c>
      <c r="Y79" s="1" t="str">
        <f>"4530146793"</f>
        <v>4530146793</v>
      </c>
    </row>
    <row r="80" spans="1:25" x14ac:dyDescent="0.2">
      <c r="A80" s="9" t="s">
        <v>1632</v>
      </c>
      <c r="B80" s="10">
        <v>42828</v>
      </c>
      <c r="C80" s="9" t="s">
        <v>1633</v>
      </c>
      <c r="D80" s="9" t="s">
        <v>252</v>
      </c>
      <c r="E80" s="9" t="s">
        <v>2190</v>
      </c>
      <c r="F80" s="9">
        <v>20000</v>
      </c>
      <c r="G80" s="8">
        <v>1438</v>
      </c>
      <c r="H80" s="4">
        <f t="shared" si="117"/>
        <v>1438</v>
      </c>
      <c r="I80" s="4">
        <f t="shared" si="118"/>
        <v>0</v>
      </c>
      <c r="J80" s="4">
        <f t="shared" si="119"/>
        <v>0</v>
      </c>
      <c r="K80" s="4">
        <f t="shared" si="120"/>
        <v>0</v>
      </c>
      <c r="L80" s="4">
        <f t="shared" si="121"/>
        <v>0</v>
      </c>
      <c r="M80" s="4">
        <f t="shared" si="122"/>
        <v>0</v>
      </c>
      <c r="N80" s="4">
        <f t="shared" si="123"/>
        <v>0</v>
      </c>
      <c r="O80" s="5">
        <f t="shared" si="124"/>
        <v>27</v>
      </c>
      <c r="P80" s="6" t="str">
        <f t="shared" si="125"/>
        <v>30 Days</v>
      </c>
      <c r="Q80" s="7">
        <v>42855</v>
      </c>
      <c r="R80" s="6" t="s">
        <v>2178</v>
      </c>
      <c r="Y80" s="1" t="str">
        <f>"4530146777"</f>
        <v>4530146777</v>
      </c>
    </row>
    <row r="81" spans="1:25" x14ac:dyDescent="0.2">
      <c r="A81" s="9" t="s">
        <v>1696</v>
      </c>
      <c r="B81" s="10">
        <v>42830</v>
      </c>
      <c r="C81" s="9" t="s">
        <v>1697</v>
      </c>
      <c r="D81" s="9" t="s">
        <v>252</v>
      </c>
      <c r="E81" s="9" t="s">
        <v>2190</v>
      </c>
      <c r="F81" s="9">
        <v>20000</v>
      </c>
      <c r="G81" s="8">
        <v>1438</v>
      </c>
      <c r="H81" s="4">
        <f t="shared" si="117"/>
        <v>1438</v>
      </c>
      <c r="I81" s="4">
        <f t="shared" si="118"/>
        <v>0</v>
      </c>
      <c r="J81" s="4">
        <f t="shared" si="119"/>
        <v>0</v>
      </c>
      <c r="K81" s="4">
        <f t="shared" si="120"/>
        <v>0</v>
      </c>
      <c r="L81" s="4">
        <f t="shared" si="121"/>
        <v>0</v>
      </c>
      <c r="M81" s="4">
        <f t="shared" si="122"/>
        <v>0</v>
      </c>
      <c r="N81" s="4">
        <f t="shared" si="123"/>
        <v>0</v>
      </c>
      <c r="O81" s="5">
        <f t="shared" si="124"/>
        <v>25</v>
      </c>
      <c r="P81" s="6" t="str">
        <f t="shared" si="125"/>
        <v>30 Days</v>
      </c>
      <c r="Q81" s="7">
        <v>42855</v>
      </c>
      <c r="R81" s="6" t="s">
        <v>2178</v>
      </c>
      <c r="Y81" s="1" t="str">
        <f>"4110238304"</f>
        <v>4110238304</v>
      </c>
    </row>
    <row r="82" spans="1:25" x14ac:dyDescent="0.2">
      <c r="A82" s="9" t="s">
        <v>2071</v>
      </c>
      <c r="B82" s="10">
        <v>42838</v>
      </c>
      <c r="C82" s="9" t="s">
        <v>2072</v>
      </c>
      <c r="D82" s="9" t="s">
        <v>252</v>
      </c>
      <c r="E82" s="9" t="s">
        <v>2190</v>
      </c>
      <c r="F82" s="9">
        <v>20000</v>
      </c>
      <c r="G82" s="8">
        <v>1438</v>
      </c>
      <c r="H82" s="4">
        <f t="shared" si="117"/>
        <v>1438</v>
      </c>
      <c r="I82" s="4">
        <f t="shared" si="118"/>
        <v>0</v>
      </c>
      <c r="J82" s="4">
        <f t="shared" si="119"/>
        <v>0</v>
      </c>
      <c r="K82" s="4">
        <f t="shared" si="120"/>
        <v>0</v>
      </c>
      <c r="L82" s="4">
        <f t="shared" si="121"/>
        <v>0</v>
      </c>
      <c r="M82" s="4">
        <f t="shared" si="122"/>
        <v>0</v>
      </c>
      <c r="N82" s="4">
        <f t="shared" si="123"/>
        <v>0</v>
      </c>
      <c r="O82" s="5">
        <f t="shared" si="124"/>
        <v>17</v>
      </c>
      <c r="P82" s="6" t="str">
        <f t="shared" si="125"/>
        <v>30 Days</v>
      </c>
      <c r="Q82" s="7">
        <v>42855</v>
      </c>
      <c r="R82" s="6" t="str">
        <f>VLOOKUP(A82:A2022,[1]BOM_INV_OPERATOR_DETAILS_OUTPUT!$A$2:$D$1233,4,FALSE)</f>
        <v>AI</v>
      </c>
      <c r="Y82" s="1" t="str">
        <f>"4530147125"</f>
        <v>4530147125</v>
      </c>
    </row>
    <row r="83" spans="1:25" x14ac:dyDescent="0.2">
      <c r="A83" s="9" t="s">
        <v>2073</v>
      </c>
      <c r="B83" s="10">
        <v>42838</v>
      </c>
      <c r="C83" s="9" t="s">
        <v>2074</v>
      </c>
      <c r="D83" s="9" t="s">
        <v>252</v>
      </c>
      <c r="E83" s="9" t="s">
        <v>2190</v>
      </c>
      <c r="F83" s="9">
        <v>20000</v>
      </c>
      <c r="G83" s="8">
        <v>1438</v>
      </c>
      <c r="H83" s="4">
        <f t="shared" si="117"/>
        <v>1438</v>
      </c>
      <c r="I83" s="4">
        <f t="shared" si="118"/>
        <v>0</v>
      </c>
      <c r="J83" s="4">
        <f t="shared" si="119"/>
        <v>0</v>
      </c>
      <c r="K83" s="4">
        <f t="shared" si="120"/>
        <v>0</v>
      </c>
      <c r="L83" s="4">
        <f t="shared" si="121"/>
        <v>0</v>
      </c>
      <c r="M83" s="4">
        <f t="shared" si="122"/>
        <v>0</v>
      </c>
      <c r="N83" s="4">
        <f t="shared" si="123"/>
        <v>0</v>
      </c>
      <c r="O83" s="5">
        <f t="shared" si="124"/>
        <v>17</v>
      </c>
      <c r="P83" s="6" t="str">
        <f t="shared" si="125"/>
        <v>30 Days</v>
      </c>
      <c r="Q83" s="7">
        <v>42855</v>
      </c>
      <c r="R83" s="6" t="str">
        <f>VLOOKUP(A83:A2023,[1]BOM_INV_OPERATOR_DETAILS_OUTPUT!$A$2:$D$1233,4,FALSE)</f>
        <v>AI</v>
      </c>
      <c r="Y83" s="1" t="str">
        <f>"4530147127"</f>
        <v>4530147127</v>
      </c>
    </row>
    <row r="84" spans="1:25" x14ac:dyDescent="0.2">
      <c r="A84" s="9" t="s">
        <v>961</v>
      </c>
      <c r="B84" s="10">
        <v>42803</v>
      </c>
      <c r="C84" s="9" t="s">
        <v>962</v>
      </c>
      <c r="D84" s="9" t="s">
        <v>16</v>
      </c>
      <c r="E84" s="9" t="s">
        <v>2190</v>
      </c>
      <c r="F84" s="9">
        <v>600000</v>
      </c>
      <c r="G84" s="8">
        <v>1459</v>
      </c>
      <c r="H84" s="4">
        <f t="shared" si="117"/>
        <v>0</v>
      </c>
      <c r="I84" s="4">
        <f t="shared" si="118"/>
        <v>0</v>
      </c>
      <c r="J84" s="4">
        <f t="shared" si="119"/>
        <v>1459</v>
      </c>
      <c r="K84" s="4">
        <f t="shared" si="120"/>
        <v>0</v>
      </c>
      <c r="L84" s="4">
        <f t="shared" si="121"/>
        <v>0</v>
      </c>
      <c r="M84" s="4">
        <f t="shared" si="122"/>
        <v>0</v>
      </c>
      <c r="N84" s="4">
        <f t="shared" si="123"/>
        <v>0</v>
      </c>
      <c r="O84" s="5">
        <f t="shared" si="124"/>
        <v>52</v>
      </c>
      <c r="P84" s="6" t="str">
        <f t="shared" si="125"/>
        <v>46 To 60 Days</v>
      </c>
      <c r="Q84" s="7">
        <v>42855</v>
      </c>
      <c r="R84" s="6" t="s">
        <v>2178</v>
      </c>
      <c r="Y84" s="1" t="str">
        <f>"415953852"</f>
        <v>415953852</v>
      </c>
    </row>
    <row r="85" spans="1:25" x14ac:dyDescent="0.2">
      <c r="A85" s="9" t="s">
        <v>1846</v>
      </c>
      <c r="B85" s="10">
        <v>42835</v>
      </c>
      <c r="C85" s="9" t="s">
        <v>1847</v>
      </c>
      <c r="D85" s="9" t="s">
        <v>16</v>
      </c>
      <c r="E85" s="9" t="s">
        <v>2190</v>
      </c>
      <c r="F85" s="9">
        <v>600000</v>
      </c>
      <c r="G85" s="8">
        <v>1459</v>
      </c>
      <c r="H85" s="4">
        <f t="shared" si="117"/>
        <v>1459</v>
      </c>
      <c r="I85" s="4">
        <f t="shared" si="118"/>
        <v>0</v>
      </c>
      <c r="J85" s="4">
        <f t="shared" si="119"/>
        <v>0</v>
      </c>
      <c r="K85" s="4">
        <f t="shared" si="120"/>
        <v>0</v>
      </c>
      <c r="L85" s="4">
        <f t="shared" si="121"/>
        <v>0</v>
      </c>
      <c r="M85" s="4">
        <f t="shared" si="122"/>
        <v>0</v>
      </c>
      <c r="N85" s="4">
        <f t="shared" si="123"/>
        <v>0</v>
      </c>
      <c r="O85" s="5">
        <f t="shared" si="124"/>
        <v>20</v>
      </c>
      <c r="P85" s="6" t="str">
        <f t="shared" si="125"/>
        <v>30 Days</v>
      </c>
      <c r="Q85" s="7">
        <v>42855</v>
      </c>
      <c r="R85" s="6" t="str">
        <f>VLOOKUP(A85:A2032,[1]BOM_INV_OPERATOR_DETAILS_OUTPUT!$A$2:$D$1233,4,FALSE)</f>
        <v>AI</v>
      </c>
      <c r="Y85" s="1" t="str">
        <f>"415954411"</f>
        <v>415954411</v>
      </c>
    </row>
    <row r="86" spans="1:25" x14ac:dyDescent="0.2">
      <c r="A86" s="9" t="s">
        <v>1848</v>
      </c>
      <c r="B86" s="10">
        <v>42835</v>
      </c>
      <c r="C86" s="9" t="s">
        <v>1849</v>
      </c>
      <c r="D86" s="9" t="s">
        <v>16</v>
      </c>
      <c r="E86" s="9" t="s">
        <v>2190</v>
      </c>
      <c r="F86" s="9">
        <v>600000</v>
      </c>
      <c r="G86" s="8">
        <v>1467</v>
      </c>
      <c r="H86" s="4">
        <f t="shared" si="117"/>
        <v>1467</v>
      </c>
      <c r="I86" s="4">
        <f t="shared" si="118"/>
        <v>0</v>
      </c>
      <c r="J86" s="4">
        <f t="shared" si="119"/>
        <v>0</v>
      </c>
      <c r="K86" s="4">
        <f t="shared" si="120"/>
        <v>0</v>
      </c>
      <c r="L86" s="4">
        <f t="shared" si="121"/>
        <v>0</v>
      </c>
      <c r="M86" s="4">
        <f t="shared" si="122"/>
        <v>0</v>
      </c>
      <c r="N86" s="4">
        <f t="shared" si="123"/>
        <v>0</v>
      </c>
      <c r="O86" s="5">
        <f t="shared" si="124"/>
        <v>20</v>
      </c>
      <c r="P86" s="6" t="str">
        <f t="shared" si="125"/>
        <v>30 Days</v>
      </c>
      <c r="Q86" s="7">
        <v>42855</v>
      </c>
      <c r="R86" s="6" t="str">
        <f>VLOOKUP(A86:A2038,[1]BOM_INV_OPERATOR_DETAILS_OUTPUT!$A$2:$D$1233,4,FALSE)</f>
        <v>AI</v>
      </c>
      <c r="Y86" s="1" t="str">
        <f>"415954413"</f>
        <v>415954413</v>
      </c>
    </row>
    <row r="87" spans="1:25" x14ac:dyDescent="0.2">
      <c r="A87" s="9" t="s">
        <v>222</v>
      </c>
      <c r="B87" s="10">
        <v>42733</v>
      </c>
      <c r="C87" s="9" t="s">
        <v>223</v>
      </c>
      <c r="D87" s="9" t="s">
        <v>16</v>
      </c>
      <c r="E87" s="9" t="s">
        <v>2190</v>
      </c>
      <c r="F87" s="9">
        <v>600000</v>
      </c>
      <c r="G87" s="8">
        <v>1469</v>
      </c>
      <c r="H87" s="4">
        <f t="shared" si="117"/>
        <v>0</v>
      </c>
      <c r="I87" s="4">
        <f t="shared" si="118"/>
        <v>0</v>
      </c>
      <c r="J87" s="4">
        <f t="shared" si="119"/>
        <v>0</v>
      </c>
      <c r="K87" s="4">
        <f t="shared" si="120"/>
        <v>0</v>
      </c>
      <c r="L87" s="4">
        <f t="shared" si="121"/>
        <v>0</v>
      </c>
      <c r="M87" s="4">
        <f t="shared" si="122"/>
        <v>1469</v>
      </c>
      <c r="N87" s="4">
        <f t="shared" si="123"/>
        <v>1469</v>
      </c>
      <c r="O87" s="5">
        <f t="shared" si="124"/>
        <v>122</v>
      </c>
      <c r="P87" s="6" t="str">
        <f t="shared" si="125"/>
        <v>Plus120Days</v>
      </c>
      <c r="Q87" s="7">
        <v>42855</v>
      </c>
      <c r="R87" s="6" t="s">
        <v>2178</v>
      </c>
      <c r="Y87" s="1" t="str">
        <f>"415952650"</f>
        <v>415952650</v>
      </c>
    </row>
    <row r="88" spans="1:25" x14ac:dyDescent="0.2">
      <c r="A88" s="9" t="s">
        <v>383</v>
      </c>
      <c r="B88" s="10">
        <v>42760</v>
      </c>
      <c r="C88" s="9" t="s">
        <v>384</v>
      </c>
      <c r="D88" s="9" t="s">
        <v>16</v>
      </c>
      <c r="E88" s="9" t="s">
        <v>2190</v>
      </c>
      <c r="F88" s="9">
        <v>600000</v>
      </c>
      <c r="G88" s="8">
        <v>1477</v>
      </c>
      <c r="H88" s="4">
        <f t="shared" si="117"/>
        <v>0</v>
      </c>
      <c r="I88" s="4">
        <f t="shared" si="118"/>
        <v>0</v>
      </c>
      <c r="J88" s="4">
        <f t="shared" si="119"/>
        <v>0</v>
      </c>
      <c r="K88" s="4">
        <f t="shared" si="120"/>
        <v>0</v>
      </c>
      <c r="L88" s="4">
        <f t="shared" si="121"/>
        <v>1477</v>
      </c>
      <c r="M88" s="4">
        <f t="shared" si="122"/>
        <v>0</v>
      </c>
      <c r="N88" s="4">
        <f t="shared" si="123"/>
        <v>1477</v>
      </c>
      <c r="O88" s="5">
        <f t="shared" si="124"/>
        <v>95</v>
      </c>
      <c r="P88" s="6" t="str">
        <f t="shared" si="125"/>
        <v>91 To 120 Days</v>
      </c>
      <c r="Q88" s="7">
        <v>42855</v>
      </c>
      <c r="R88" s="6" t="s">
        <v>2178</v>
      </c>
      <c r="Y88" s="1" t="str">
        <f>"415953219"</f>
        <v>415953219</v>
      </c>
    </row>
    <row r="89" spans="1:25" x14ac:dyDescent="0.2">
      <c r="A89" s="9" t="s">
        <v>1024</v>
      </c>
      <c r="B89" s="10">
        <v>42810</v>
      </c>
      <c r="C89" s="9" t="s">
        <v>1025</v>
      </c>
      <c r="D89" s="9" t="s">
        <v>16</v>
      </c>
      <c r="E89" s="9" t="s">
        <v>2190</v>
      </c>
      <c r="F89" s="9">
        <v>600000</v>
      </c>
      <c r="G89" s="8">
        <v>1477</v>
      </c>
      <c r="H89" s="4">
        <f t="shared" si="117"/>
        <v>0</v>
      </c>
      <c r="I89" s="4">
        <f t="shared" si="118"/>
        <v>1477</v>
      </c>
      <c r="J89" s="4">
        <f t="shared" si="119"/>
        <v>0</v>
      </c>
      <c r="K89" s="4">
        <f t="shared" si="120"/>
        <v>0</v>
      </c>
      <c r="L89" s="4">
        <f t="shared" si="121"/>
        <v>0</v>
      </c>
      <c r="M89" s="4">
        <f t="shared" si="122"/>
        <v>0</v>
      </c>
      <c r="N89" s="4">
        <f t="shared" si="123"/>
        <v>0</v>
      </c>
      <c r="O89" s="5">
        <f t="shared" si="124"/>
        <v>45</v>
      </c>
      <c r="P89" s="6" t="str">
        <f t="shared" si="125"/>
        <v>31 TO 45 Days</v>
      </c>
      <c r="Q89" s="7">
        <v>42855</v>
      </c>
      <c r="R89" s="6" t="s">
        <v>2178</v>
      </c>
      <c r="Y89" s="1" t="str">
        <f>"415953927"</f>
        <v>415953927</v>
      </c>
    </row>
    <row r="90" spans="1:25" x14ac:dyDescent="0.2">
      <c r="A90" s="9" t="s">
        <v>839</v>
      </c>
      <c r="B90" s="10">
        <v>42795</v>
      </c>
      <c r="C90" s="9" t="s">
        <v>840</v>
      </c>
      <c r="D90" s="9" t="s">
        <v>16</v>
      </c>
      <c r="E90" s="9" t="s">
        <v>2190</v>
      </c>
      <c r="F90" s="9">
        <v>600000</v>
      </c>
      <c r="G90" s="8">
        <v>1479</v>
      </c>
      <c r="H90" s="4">
        <f t="shared" si="117"/>
        <v>0</v>
      </c>
      <c r="I90" s="4">
        <f t="shared" si="118"/>
        <v>0</v>
      </c>
      <c r="J90" s="4">
        <f t="shared" si="119"/>
        <v>1479</v>
      </c>
      <c r="K90" s="4">
        <f t="shared" si="120"/>
        <v>0</v>
      </c>
      <c r="L90" s="4">
        <f t="shared" si="121"/>
        <v>0</v>
      </c>
      <c r="M90" s="4">
        <f t="shared" si="122"/>
        <v>0</v>
      </c>
      <c r="N90" s="4">
        <f t="shared" si="123"/>
        <v>0</v>
      </c>
      <c r="O90" s="5">
        <f t="shared" si="124"/>
        <v>60</v>
      </c>
      <c r="P90" s="6" t="str">
        <f t="shared" si="125"/>
        <v>46 To 60 Days</v>
      </c>
      <c r="Q90" s="7">
        <v>42855</v>
      </c>
      <c r="R90" s="6" t="s">
        <v>2178</v>
      </c>
      <c r="Y90" s="1" t="str">
        <f>"417268166"</f>
        <v>417268166</v>
      </c>
    </row>
    <row r="91" spans="1:25" x14ac:dyDescent="0.2">
      <c r="A91" s="9" t="s">
        <v>290</v>
      </c>
      <c r="B91" s="10">
        <v>42745</v>
      </c>
      <c r="C91" s="9" t="s">
        <v>291</v>
      </c>
      <c r="D91" s="9" t="s">
        <v>40</v>
      </c>
      <c r="E91" s="9" t="s">
        <v>2190</v>
      </c>
      <c r="F91" s="9">
        <v>950000</v>
      </c>
      <c r="G91" s="8">
        <v>1484</v>
      </c>
      <c r="H91" s="4">
        <f t="shared" si="117"/>
        <v>0</v>
      </c>
      <c r="I91" s="4">
        <f t="shared" si="118"/>
        <v>0</v>
      </c>
      <c r="J91" s="4">
        <f t="shared" si="119"/>
        <v>0</v>
      </c>
      <c r="K91" s="4">
        <f t="shared" si="120"/>
        <v>0</v>
      </c>
      <c r="L91" s="4">
        <f t="shared" si="121"/>
        <v>1484</v>
      </c>
      <c r="M91" s="4">
        <f t="shared" si="122"/>
        <v>0</v>
      </c>
      <c r="N91" s="4">
        <f t="shared" si="123"/>
        <v>1484</v>
      </c>
      <c r="O91" s="5">
        <f t="shared" si="124"/>
        <v>110</v>
      </c>
      <c r="P91" s="6" t="str">
        <f t="shared" si="125"/>
        <v>91 To 120 Days</v>
      </c>
      <c r="Q91" s="7">
        <v>42855</v>
      </c>
      <c r="R91" s="6" t="s">
        <v>2178</v>
      </c>
      <c r="Y91" s="1" t="str">
        <f>"4711220483"</f>
        <v>4711220483</v>
      </c>
    </row>
    <row r="92" spans="1:25" x14ac:dyDescent="0.2">
      <c r="A92" s="9" t="s">
        <v>789</v>
      </c>
      <c r="B92" s="10">
        <v>42794</v>
      </c>
      <c r="C92" s="9" t="s">
        <v>790</v>
      </c>
      <c r="D92" s="9" t="s">
        <v>40</v>
      </c>
      <c r="E92" s="9" t="s">
        <v>2190</v>
      </c>
      <c r="F92" s="9">
        <v>950000</v>
      </c>
      <c r="G92" s="8">
        <v>1484</v>
      </c>
      <c r="H92" s="4">
        <f t="shared" si="117"/>
        <v>0</v>
      </c>
      <c r="I92" s="4">
        <f t="shared" si="118"/>
        <v>0</v>
      </c>
      <c r="J92" s="4">
        <f t="shared" si="119"/>
        <v>0</v>
      </c>
      <c r="K92" s="4">
        <f t="shared" si="120"/>
        <v>1484</v>
      </c>
      <c r="L92" s="4">
        <f t="shared" si="121"/>
        <v>0</v>
      </c>
      <c r="M92" s="4">
        <f t="shared" si="122"/>
        <v>0</v>
      </c>
      <c r="N92" s="4">
        <f t="shared" si="123"/>
        <v>1484</v>
      </c>
      <c r="O92" s="5">
        <f t="shared" si="124"/>
        <v>61</v>
      </c>
      <c r="P92" s="6" t="str">
        <f t="shared" si="125"/>
        <v>61 To 90 Days</v>
      </c>
      <c r="Q92" s="7">
        <v>42855</v>
      </c>
      <c r="R92" s="6" t="s">
        <v>2178</v>
      </c>
      <c r="Y92" s="1" t="str">
        <f>"4480464639"</f>
        <v>4480464639</v>
      </c>
    </row>
    <row r="93" spans="1:25" x14ac:dyDescent="0.2">
      <c r="A93" s="9" t="s">
        <v>823</v>
      </c>
      <c r="B93" s="10">
        <v>42795</v>
      </c>
      <c r="C93" s="9" t="s">
        <v>824</v>
      </c>
      <c r="D93" s="9" t="s">
        <v>40</v>
      </c>
      <c r="E93" s="9" t="s">
        <v>2190</v>
      </c>
      <c r="F93" s="9">
        <v>950000</v>
      </c>
      <c r="G93" s="8">
        <v>1484</v>
      </c>
      <c r="H93" s="4">
        <f t="shared" si="117"/>
        <v>0</v>
      </c>
      <c r="I93" s="4">
        <f t="shared" si="118"/>
        <v>0</v>
      </c>
      <c r="J93" s="4">
        <f t="shared" si="119"/>
        <v>1484</v>
      </c>
      <c r="K93" s="4">
        <f t="shared" si="120"/>
        <v>0</v>
      </c>
      <c r="L93" s="4">
        <f t="shared" si="121"/>
        <v>0</v>
      </c>
      <c r="M93" s="4">
        <f t="shared" si="122"/>
        <v>0</v>
      </c>
      <c r="N93" s="4">
        <f t="shared" si="123"/>
        <v>0</v>
      </c>
      <c r="O93" s="5">
        <f t="shared" si="124"/>
        <v>60</v>
      </c>
      <c r="P93" s="6" t="str">
        <f t="shared" si="125"/>
        <v>46 To 60 Days</v>
      </c>
      <c r="Q93" s="7">
        <v>42855</v>
      </c>
      <c r="R93" s="6" t="s">
        <v>2178</v>
      </c>
      <c r="Y93" s="1" t="str">
        <f>"4711232843"</f>
        <v>4711232843</v>
      </c>
    </row>
    <row r="94" spans="1:25" x14ac:dyDescent="0.2">
      <c r="A94" s="9" t="s">
        <v>1806</v>
      </c>
      <c r="B94" s="10">
        <v>42832</v>
      </c>
      <c r="C94" s="9" t="s">
        <v>1807</v>
      </c>
      <c r="D94" s="9" t="s">
        <v>269</v>
      </c>
      <c r="E94" s="9" t="s">
        <v>2190</v>
      </c>
      <c r="F94" s="9">
        <v>0</v>
      </c>
      <c r="G94" s="8">
        <v>1487</v>
      </c>
      <c r="H94" s="4">
        <f t="shared" si="117"/>
        <v>1487</v>
      </c>
      <c r="I94" s="4">
        <f t="shared" si="118"/>
        <v>0</v>
      </c>
      <c r="J94" s="4">
        <f t="shared" si="119"/>
        <v>0</v>
      </c>
      <c r="K94" s="4">
        <f t="shared" si="120"/>
        <v>0</v>
      </c>
      <c r="L94" s="4">
        <f t="shared" si="121"/>
        <v>0</v>
      </c>
      <c r="M94" s="4">
        <f t="shared" si="122"/>
        <v>0</v>
      </c>
      <c r="N94" s="4">
        <f t="shared" si="123"/>
        <v>0</v>
      </c>
      <c r="O94" s="5">
        <f t="shared" si="124"/>
        <v>23</v>
      </c>
      <c r="P94" s="6" t="str">
        <f t="shared" si="125"/>
        <v>30 Days</v>
      </c>
      <c r="Q94" s="7">
        <v>42855</v>
      </c>
      <c r="R94" s="6" t="s">
        <v>2178</v>
      </c>
      <c r="Y94" s="1" t="str">
        <f>"423610554"</f>
        <v>423610554</v>
      </c>
    </row>
    <row r="95" spans="1:25" x14ac:dyDescent="0.2">
      <c r="A95" s="9" t="s">
        <v>1712</v>
      </c>
      <c r="B95" s="10">
        <v>42830</v>
      </c>
      <c r="C95" s="9" t="s">
        <v>1713</v>
      </c>
      <c r="D95" s="9" t="s">
        <v>33</v>
      </c>
      <c r="E95" s="9" t="s">
        <v>2190</v>
      </c>
      <c r="F95" s="9">
        <v>550000</v>
      </c>
      <c r="G95" s="8">
        <v>1525</v>
      </c>
      <c r="H95" s="4">
        <f t="shared" ref="H95:H98" si="126">IF(O95&lt;=30,G95,0)</f>
        <v>1525</v>
      </c>
      <c r="I95" s="4">
        <f t="shared" ref="I95:I98" si="127">IF(AND(O95&gt;30,O95&lt;=45),G95,0)</f>
        <v>0</v>
      </c>
      <c r="J95" s="4">
        <f t="shared" ref="J95:J98" si="128">IF(AND(O95&gt;45,O95&lt;=60),G95,0)</f>
        <v>0</v>
      </c>
      <c r="K95" s="4">
        <f t="shared" ref="K95:K98" si="129">IF(AND(O95&gt;60,O95&lt;=90),G95,0)</f>
        <v>0</v>
      </c>
      <c r="L95" s="4">
        <f t="shared" ref="L95:L98" si="130">IF(AND(O95&gt;90,O95&lt;=120),G95,0)</f>
        <v>0</v>
      </c>
      <c r="M95" s="4">
        <f t="shared" ref="M95:M98" si="131">IF(O95&gt;120,G95,0)</f>
        <v>0</v>
      </c>
      <c r="N95" s="4">
        <f t="shared" ref="N95:N98" si="132">IF(O95&gt;60,G95,0)</f>
        <v>0</v>
      </c>
      <c r="O95" s="5">
        <f t="shared" ref="O95:O98" si="133">Q95-B95</f>
        <v>25</v>
      </c>
      <c r="P95" s="6" t="str">
        <f t="shared" ref="P95:P98" si="134">IF(AND(O95&lt;=30),"30 Days",IF(AND(O95&gt;30,O95&lt;=45),"31 TO 45 Days",IF(AND(O95&gt;45,O95&lt;=60),"46 To 60 Days",IF(AND(O95&gt;60,O95&lt;=90),"61 To 90 Days",IF(AND(O95&gt;90,O95&lt;=120),"91 To 120 Days",IF(AND(O95&gt;120),"Plus120Days",))))))</f>
        <v>30 Days</v>
      </c>
      <c r="Q95" s="7">
        <v>42855</v>
      </c>
      <c r="R95" s="6" t="s">
        <v>2178</v>
      </c>
      <c r="Y95" s="1" t="s">
        <v>1714</v>
      </c>
    </row>
    <row r="96" spans="1:25" x14ac:dyDescent="0.2">
      <c r="A96" s="9" t="s">
        <v>1592</v>
      </c>
      <c r="B96" s="10">
        <v>42826</v>
      </c>
      <c r="C96" s="9" t="s">
        <v>1593</v>
      </c>
      <c r="D96" s="9" t="s">
        <v>133</v>
      </c>
      <c r="E96" s="9" t="s">
        <v>2190</v>
      </c>
      <c r="F96" s="9">
        <v>20000000</v>
      </c>
      <c r="G96" s="8">
        <v>1544</v>
      </c>
      <c r="H96" s="4">
        <f t="shared" si="126"/>
        <v>1544</v>
      </c>
      <c r="I96" s="4">
        <f t="shared" si="127"/>
        <v>0</v>
      </c>
      <c r="J96" s="4">
        <f t="shared" si="128"/>
        <v>0</v>
      </c>
      <c r="K96" s="4">
        <f t="shared" si="129"/>
        <v>0</v>
      </c>
      <c r="L96" s="4">
        <f t="shared" si="130"/>
        <v>0</v>
      </c>
      <c r="M96" s="4">
        <f t="shared" si="131"/>
        <v>0</v>
      </c>
      <c r="N96" s="4">
        <f t="shared" si="132"/>
        <v>0</v>
      </c>
      <c r="O96" s="5">
        <f t="shared" si="133"/>
        <v>29</v>
      </c>
      <c r="P96" s="6" t="str">
        <f t="shared" si="134"/>
        <v>30 Days</v>
      </c>
      <c r="Q96" s="7">
        <v>42855</v>
      </c>
      <c r="R96" s="6" t="s">
        <v>2178</v>
      </c>
      <c r="V96" s="1" t="s">
        <v>13</v>
      </c>
      <c r="W96" s="2">
        <v>42828</v>
      </c>
      <c r="X96" s="1" t="s">
        <v>14</v>
      </c>
      <c r="Y96" s="1" t="str">
        <f>"4110238093"</f>
        <v>4110238093</v>
      </c>
    </row>
    <row r="97" spans="1:25" x14ac:dyDescent="0.2">
      <c r="A97" s="9" t="s">
        <v>1624</v>
      </c>
      <c r="B97" s="10">
        <v>42828</v>
      </c>
      <c r="C97" s="9" t="s">
        <v>1625</v>
      </c>
      <c r="D97" s="9" t="s">
        <v>252</v>
      </c>
      <c r="E97" s="9" t="s">
        <v>2190</v>
      </c>
      <c r="F97" s="9">
        <v>20000</v>
      </c>
      <c r="G97" s="8">
        <v>1592</v>
      </c>
      <c r="H97" s="4">
        <f t="shared" si="126"/>
        <v>1592</v>
      </c>
      <c r="I97" s="4">
        <f t="shared" si="127"/>
        <v>0</v>
      </c>
      <c r="J97" s="4">
        <f t="shared" si="128"/>
        <v>0</v>
      </c>
      <c r="K97" s="4">
        <f t="shared" si="129"/>
        <v>0</v>
      </c>
      <c r="L97" s="4">
        <f t="shared" si="130"/>
        <v>0</v>
      </c>
      <c r="M97" s="4">
        <f t="shared" si="131"/>
        <v>0</v>
      </c>
      <c r="N97" s="4">
        <f t="shared" si="132"/>
        <v>0</v>
      </c>
      <c r="O97" s="5">
        <f t="shared" si="133"/>
        <v>27</v>
      </c>
      <c r="P97" s="6" t="str">
        <f t="shared" si="134"/>
        <v>30 Days</v>
      </c>
      <c r="Q97" s="7">
        <v>42855</v>
      </c>
      <c r="R97" s="6" t="s">
        <v>2178</v>
      </c>
      <c r="Y97" s="1" t="str">
        <f>"4030303819"</f>
        <v>4030303819</v>
      </c>
    </row>
    <row r="98" spans="1:25" x14ac:dyDescent="0.2">
      <c r="A98" s="9" t="s">
        <v>224</v>
      </c>
      <c r="B98" s="10">
        <v>42733</v>
      </c>
      <c r="C98" s="9" t="s">
        <v>225</v>
      </c>
      <c r="D98" s="9" t="s">
        <v>16</v>
      </c>
      <c r="E98" s="9" t="s">
        <v>2190</v>
      </c>
      <c r="F98" s="9">
        <v>600000</v>
      </c>
      <c r="G98" s="8">
        <v>1657</v>
      </c>
      <c r="H98" s="4">
        <f t="shared" si="126"/>
        <v>0</v>
      </c>
      <c r="I98" s="4">
        <f t="shared" si="127"/>
        <v>0</v>
      </c>
      <c r="J98" s="4">
        <f t="shared" si="128"/>
        <v>0</v>
      </c>
      <c r="K98" s="4">
        <f t="shared" si="129"/>
        <v>0</v>
      </c>
      <c r="L98" s="4">
        <f t="shared" si="130"/>
        <v>0</v>
      </c>
      <c r="M98" s="4">
        <f t="shared" si="131"/>
        <v>1657</v>
      </c>
      <c r="N98" s="4">
        <f t="shared" si="132"/>
        <v>1657</v>
      </c>
      <c r="O98" s="5">
        <f t="shared" si="133"/>
        <v>122</v>
      </c>
      <c r="P98" s="6" t="str">
        <f t="shared" si="134"/>
        <v>Plus120Days</v>
      </c>
      <c r="Q98" s="7">
        <v>42855</v>
      </c>
      <c r="R98" s="6" t="s">
        <v>2178</v>
      </c>
      <c r="Y98" s="1" t="str">
        <f>"417267694"</f>
        <v>417267694</v>
      </c>
    </row>
    <row r="99" spans="1:25" x14ac:dyDescent="0.2">
      <c r="A99" s="9" t="s">
        <v>244</v>
      </c>
      <c r="B99" s="10">
        <v>42735</v>
      </c>
      <c r="C99" s="9" t="s">
        <v>245</v>
      </c>
      <c r="D99" s="9" t="s">
        <v>154</v>
      </c>
      <c r="E99" s="9" t="s">
        <v>2190</v>
      </c>
      <c r="F99" s="9">
        <v>0</v>
      </c>
      <c r="G99" s="8">
        <v>1709</v>
      </c>
      <c r="H99" s="4">
        <f t="shared" ref="H99" si="135">IF(O99&lt;=30,G99,0)</f>
        <v>0</v>
      </c>
      <c r="I99" s="4">
        <f t="shared" ref="I99" si="136">IF(AND(O99&gt;30,O99&lt;=45),G99,0)</f>
        <v>0</v>
      </c>
      <c r="J99" s="4">
        <f t="shared" ref="J99" si="137">IF(AND(O99&gt;45,O99&lt;=60),G99,0)</f>
        <v>0</v>
      </c>
      <c r="K99" s="4">
        <f t="shared" ref="K99" si="138">IF(AND(O99&gt;60,O99&lt;=90),G99,0)</f>
        <v>0</v>
      </c>
      <c r="L99" s="4">
        <f t="shared" ref="L99" si="139">IF(AND(O99&gt;90,O99&lt;=120),G99,0)</f>
        <v>1709</v>
      </c>
      <c r="M99" s="4">
        <f t="shared" ref="M99" si="140">IF(O99&gt;120,G99,0)</f>
        <v>0</v>
      </c>
      <c r="N99" s="4">
        <f t="shared" ref="N99" si="141">IF(O99&gt;60,G99,0)</f>
        <v>1709</v>
      </c>
      <c r="O99" s="5">
        <f t="shared" ref="O99" si="142">Q99-B99</f>
        <v>120</v>
      </c>
      <c r="P99" s="6" t="str">
        <f t="shared" ref="P99" si="143">IF(AND(O99&lt;=30),"30 Days",IF(AND(O99&gt;30,O99&lt;=45),"31 TO 45 Days",IF(AND(O99&gt;45,O99&lt;=60),"46 To 60 Days",IF(AND(O99&gt;60,O99&lt;=90),"61 To 90 Days",IF(AND(O99&gt;90,O99&lt;=120),"91 To 120 Days",IF(AND(O99&gt;120),"Plus120Days",))))))</f>
        <v>91 To 120 Days</v>
      </c>
      <c r="Q99" s="7">
        <v>42855</v>
      </c>
      <c r="R99" s="6" t="s">
        <v>2178</v>
      </c>
      <c r="Y99" s="1" t="str">
        <f>"4600154854"</f>
        <v>4600154854</v>
      </c>
    </row>
    <row r="100" spans="1:25" x14ac:dyDescent="0.2">
      <c r="A100" s="9" t="s">
        <v>1622</v>
      </c>
      <c r="B100" s="10">
        <v>42828</v>
      </c>
      <c r="C100" s="9" t="s">
        <v>1623</v>
      </c>
      <c r="D100" s="9" t="s">
        <v>232</v>
      </c>
      <c r="E100" s="9" t="s">
        <v>2190</v>
      </c>
      <c r="F100" s="9">
        <v>1500000</v>
      </c>
      <c r="G100" s="8">
        <v>1740</v>
      </c>
      <c r="H100" s="4">
        <f t="shared" ref="H100:H110" si="144">IF(O100&lt;=30,G100,0)</f>
        <v>1740</v>
      </c>
      <c r="I100" s="4">
        <f t="shared" ref="I100:I110" si="145">IF(AND(O100&gt;30,O100&lt;=45),G100,0)</f>
        <v>0</v>
      </c>
      <c r="J100" s="4">
        <f t="shared" ref="J100:J110" si="146">IF(AND(O100&gt;45,O100&lt;=60),G100,0)</f>
        <v>0</v>
      </c>
      <c r="K100" s="4">
        <f t="shared" ref="K100:K110" si="147">IF(AND(O100&gt;60,O100&lt;=90),G100,0)</f>
        <v>0</v>
      </c>
      <c r="L100" s="4">
        <f t="shared" ref="L100:L110" si="148">IF(AND(O100&gt;90,O100&lt;=120),G100,0)</f>
        <v>0</v>
      </c>
      <c r="M100" s="4">
        <f t="shared" ref="M100:M110" si="149">IF(O100&gt;120,G100,0)</f>
        <v>0</v>
      </c>
      <c r="N100" s="4">
        <f t="shared" ref="N100:N110" si="150">IF(O100&gt;60,G100,0)</f>
        <v>0</v>
      </c>
      <c r="O100" s="5">
        <f t="shared" ref="O100:O110" si="151">Q100-B100</f>
        <v>27</v>
      </c>
      <c r="P100" s="6" t="str">
        <f t="shared" ref="P100:P110" si="152">IF(AND(O100&lt;=30),"30 Days",IF(AND(O100&gt;30,O100&lt;=45),"31 TO 45 Days",IF(AND(O100&gt;45,O100&lt;=60),"46 To 60 Days",IF(AND(O100&gt;60,O100&lt;=90),"61 To 90 Days",IF(AND(O100&gt;90,O100&lt;=120),"91 To 120 Days",IF(AND(O100&gt;120),"Plus120Days",))))))</f>
        <v>30 Days</v>
      </c>
      <c r="Q100" s="7">
        <v>42855</v>
      </c>
      <c r="R100" s="6" t="s">
        <v>2178</v>
      </c>
      <c r="Y100" s="1" t="str">
        <f>"4052210307"</f>
        <v>4052210307</v>
      </c>
    </row>
    <row r="101" spans="1:25" x14ac:dyDescent="0.2">
      <c r="A101" s="9" t="s">
        <v>949</v>
      </c>
      <c r="B101" s="10">
        <v>42803</v>
      </c>
      <c r="C101" s="9" t="s">
        <v>950</v>
      </c>
      <c r="D101" s="9" t="s">
        <v>252</v>
      </c>
      <c r="E101" s="9" t="s">
        <v>2190</v>
      </c>
      <c r="F101" s="9">
        <v>20000</v>
      </c>
      <c r="G101" s="8">
        <v>1756</v>
      </c>
      <c r="H101" s="4">
        <f t="shared" si="144"/>
        <v>0</v>
      </c>
      <c r="I101" s="4">
        <f t="shared" si="145"/>
        <v>0</v>
      </c>
      <c r="J101" s="4">
        <f t="shared" si="146"/>
        <v>1756</v>
      </c>
      <c r="K101" s="4">
        <f t="shared" si="147"/>
        <v>0</v>
      </c>
      <c r="L101" s="4">
        <f t="shared" si="148"/>
        <v>0</v>
      </c>
      <c r="M101" s="4">
        <f t="shared" si="149"/>
        <v>0</v>
      </c>
      <c r="N101" s="4">
        <f t="shared" si="150"/>
        <v>0</v>
      </c>
      <c r="O101" s="5">
        <f t="shared" si="151"/>
        <v>52</v>
      </c>
      <c r="P101" s="6" t="str">
        <f t="shared" si="152"/>
        <v>46 To 60 Days</v>
      </c>
      <c r="Q101" s="7">
        <v>42855</v>
      </c>
      <c r="R101" s="6" t="s">
        <v>2178</v>
      </c>
      <c r="Y101" s="1" t="str">
        <f>"4030294659"</f>
        <v>4030294659</v>
      </c>
    </row>
    <row r="102" spans="1:25" x14ac:dyDescent="0.2">
      <c r="A102" s="9" t="s">
        <v>1686</v>
      </c>
      <c r="B102" s="10">
        <v>42830</v>
      </c>
      <c r="C102" s="9" t="s">
        <v>1687</v>
      </c>
      <c r="D102" s="9" t="s">
        <v>232</v>
      </c>
      <c r="E102" s="9" t="s">
        <v>2190</v>
      </c>
      <c r="F102" s="9">
        <v>1500000</v>
      </c>
      <c r="G102" s="8">
        <v>1765</v>
      </c>
      <c r="H102" s="4">
        <f t="shared" si="144"/>
        <v>1765</v>
      </c>
      <c r="I102" s="4">
        <f t="shared" si="145"/>
        <v>0</v>
      </c>
      <c r="J102" s="4">
        <f t="shared" si="146"/>
        <v>0</v>
      </c>
      <c r="K102" s="4">
        <f t="shared" si="147"/>
        <v>0</v>
      </c>
      <c r="L102" s="4">
        <f t="shared" si="148"/>
        <v>0</v>
      </c>
      <c r="M102" s="4">
        <f t="shared" si="149"/>
        <v>0</v>
      </c>
      <c r="N102" s="4">
        <f t="shared" si="150"/>
        <v>0</v>
      </c>
      <c r="O102" s="5">
        <f t="shared" si="151"/>
        <v>25</v>
      </c>
      <c r="P102" s="6" t="str">
        <f t="shared" si="152"/>
        <v>30 Days</v>
      </c>
      <c r="Q102" s="7">
        <v>42855</v>
      </c>
      <c r="R102" s="6" t="s">
        <v>2178</v>
      </c>
      <c r="Y102" s="1" t="str">
        <f>"4052209158"</f>
        <v>4052209158</v>
      </c>
    </row>
    <row r="103" spans="1:25" x14ac:dyDescent="0.2">
      <c r="A103" s="9" t="s">
        <v>1124</v>
      </c>
      <c r="B103" s="10">
        <v>42814</v>
      </c>
      <c r="C103" s="9" t="s">
        <v>1125</v>
      </c>
      <c r="D103" s="9" t="s">
        <v>778</v>
      </c>
      <c r="E103" s="9" t="s">
        <v>2190</v>
      </c>
      <c r="F103" s="9">
        <v>200000</v>
      </c>
      <c r="G103" s="8">
        <v>1765</v>
      </c>
      <c r="H103" s="4">
        <f t="shared" si="144"/>
        <v>0</v>
      </c>
      <c r="I103" s="4">
        <f t="shared" si="145"/>
        <v>1765</v>
      </c>
      <c r="J103" s="4">
        <f t="shared" si="146"/>
        <v>0</v>
      </c>
      <c r="K103" s="4">
        <f t="shared" si="147"/>
        <v>0</v>
      </c>
      <c r="L103" s="4">
        <f t="shared" si="148"/>
        <v>0</v>
      </c>
      <c r="M103" s="4">
        <f t="shared" si="149"/>
        <v>0</v>
      </c>
      <c r="N103" s="4">
        <f t="shared" si="150"/>
        <v>0</v>
      </c>
      <c r="O103" s="5">
        <f t="shared" si="151"/>
        <v>41</v>
      </c>
      <c r="P103" s="6" t="str">
        <f t="shared" si="152"/>
        <v>31 TO 45 Days</v>
      </c>
      <c r="Q103" s="7">
        <v>42855</v>
      </c>
      <c r="R103" s="6" t="s">
        <v>2178</v>
      </c>
      <c r="Y103" s="1" t="str">
        <f>"423610052"</f>
        <v>423610052</v>
      </c>
    </row>
    <row r="104" spans="1:25" x14ac:dyDescent="0.2">
      <c r="A104" s="9" t="s">
        <v>1730</v>
      </c>
      <c r="B104" s="10">
        <v>42830</v>
      </c>
      <c r="C104" s="9" t="s">
        <v>1731</v>
      </c>
      <c r="D104" s="9" t="s">
        <v>252</v>
      </c>
      <c r="E104" s="9" t="s">
        <v>2190</v>
      </c>
      <c r="F104" s="9">
        <v>20000</v>
      </c>
      <c r="G104" s="8">
        <v>1785</v>
      </c>
      <c r="H104" s="4">
        <f t="shared" si="144"/>
        <v>1785</v>
      </c>
      <c r="I104" s="4">
        <f t="shared" si="145"/>
        <v>0</v>
      </c>
      <c r="J104" s="4">
        <f t="shared" si="146"/>
        <v>0</v>
      </c>
      <c r="K104" s="4">
        <f t="shared" si="147"/>
        <v>0</v>
      </c>
      <c r="L104" s="4">
        <f t="shared" si="148"/>
        <v>0</v>
      </c>
      <c r="M104" s="4">
        <f t="shared" si="149"/>
        <v>0</v>
      </c>
      <c r="N104" s="4">
        <f t="shared" si="150"/>
        <v>0</v>
      </c>
      <c r="O104" s="5">
        <f t="shared" si="151"/>
        <v>25</v>
      </c>
      <c r="P104" s="6" t="str">
        <f t="shared" si="152"/>
        <v>30 Days</v>
      </c>
      <c r="Q104" s="7">
        <v>42855</v>
      </c>
      <c r="R104" s="6" t="s">
        <v>2178</v>
      </c>
      <c r="Y104" s="1" t="str">
        <f>"4030303897"</f>
        <v>4030303897</v>
      </c>
    </row>
    <row r="105" spans="1:25" x14ac:dyDescent="0.2">
      <c r="A105" s="9" t="s">
        <v>1144</v>
      </c>
      <c r="B105" s="10">
        <v>42814</v>
      </c>
      <c r="C105" s="9" t="s">
        <v>1145</v>
      </c>
      <c r="D105" s="9" t="s">
        <v>232</v>
      </c>
      <c r="E105" s="9" t="s">
        <v>2190</v>
      </c>
      <c r="F105" s="9">
        <v>1500000</v>
      </c>
      <c r="G105" s="8">
        <v>1791</v>
      </c>
      <c r="H105" s="4">
        <f t="shared" si="144"/>
        <v>0</v>
      </c>
      <c r="I105" s="4">
        <f t="shared" si="145"/>
        <v>1791</v>
      </c>
      <c r="J105" s="4">
        <f t="shared" si="146"/>
        <v>0</v>
      </c>
      <c r="K105" s="4">
        <f t="shared" si="147"/>
        <v>0</v>
      </c>
      <c r="L105" s="4">
        <f t="shared" si="148"/>
        <v>0</v>
      </c>
      <c r="M105" s="4">
        <f t="shared" si="149"/>
        <v>0</v>
      </c>
      <c r="N105" s="4">
        <f t="shared" si="150"/>
        <v>0</v>
      </c>
      <c r="O105" s="5">
        <f t="shared" si="151"/>
        <v>41</v>
      </c>
      <c r="P105" s="6" t="str">
        <f t="shared" si="152"/>
        <v>31 TO 45 Days</v>
      </c>
      <c r="Q105" s="7">
        <v>42855</v>
      </c>
      <c r="R105" s="6" t="s">
        <v>2178</v>
      </c>
      <c r="Y105" s="1" t="str">
        <f>"419748488"</f>
        <v>419748488</v>
      </c>
    </row>
    <row r="106" spans="1:25" x14ac:dyDescent="0.2">
      <c r="A106" s="9" t="s">
        <v>1318</v>
      </c>
      <c r="B106" s="10">
        <v>42819</v>
      </c>
      <c r="C106" s="9" t="s">
        <v>1319</v>
      </c>
      <c r="D106" s="9" t="s">
        <v>252</v>
      </c>
      <c r="E106" s="9" t="s">
        <v>2190</v>
      </c>
      <c r="F106" s="9">
        <v>20000</v>
      </c>
      <c r="G106" s="8">
        <v>1796</v>
      </c>
      <c r="H106" s="4">
        <f t="shared" si="144"/>
        <v>0</v>
      </c>
      <c r="I106" s="4">
        <f t="shared" si="145"/>
        <v>1796</v>
      </c>
      <c r="J106" s="4">
        <f t="shared" si="146"/>
        <v>0</v>
      </c>
      <c r="K106" s="4">
        <f t="shared" si="147"/>
        <v>0</v>
      </c>
      <c r="L106" s="4">
        <f t="shared" si="148"/>
        <v>0</v>
      </c>
      <c r="M106" s="4">
        <f t="shared" si="149"/>
        <v>0</v>
      </c>
      <c r="N106" s="4">
        <f t="shared" si="150"/>
        <v>0</v>
      </c>
      <c r="O106" s="5">
        <f t="shared" si="151"/>
        <v>36</v>
      </c>
      <c r="P106" s="6" t="str">
        <f t="shared" si="152"/>
        <v>31 TO 45 Days</v>
      </c>
      <c r="Q106" s="7">
        <v>42855</v>
      </c>
      <c r="R106" s="6" t="s">
        <v>2178</v>
      </c>
      <c r="Y106" s="1" t="str">
        <f>"4030303703"</f>
        <v>4030303703</v>
      </c>
    </row>
    <row r="107" spans="1:25" x14ac:dyDescent="0.2">
      <c r="A107" s="9" t="s">
        <v>176</v>
      </c>
      <c r="B107" s="10">
        <v>42712</v>
      </c>
      <c r="C107" s="9" t="s">
        <v>177</v>
      </c>
      <c r="D107" s="9" t="s">
        <v>40</v>
      </c>
      <c r="E107" s="9" t="s">
        <v>2190</v>
      </c>
      <c r="F107" s="9">
        <v>950000</v>
      </c>
      <c r="G107" s="8">
        <v>1809</v>
      </c>
      <c r="H107" s="4">
        <f t="shared" si="144"/>
        <v>0</v>
      </c>
      <c r="I107" s="4">
        <f t="shared" si="145"/>
        <v>0</v>
      </c>
      <c r="J107" s="4">
        <f t="shared" si="146"/>
        <v>0</v>
      </c>
      <c r="K107" s="4">
        <f t="shared" si="147"/>
        <v>0</v>
      </c>
      <c r="L107" s="4">
        <f t="shared" si="148"/>
        <v>0</v>
      </c>
      <c r="M107" s="4">
        <f t="shared" si="149"/>
        <v>1809</v>
      </c>
      <c r="N107" s="4">
        <f t="shared" si="150"/>
        <v>1809</v>
      </c>
      <c r="O107" s="5">
        <f t="shared" si="151"/>
        <v>143</v>
      </c>
      <c r="P107" s="6" t="str">
        <f t="shared" si="152"/>
        <v>Plus120Days</v>
      </c>
      <c r="Q107" s="7">
        <v>42855</v>
      </c>
      <c r="R107" s="6" t="s">
        <v>2178</v>
      </c>
      <c r="Y107" s="1" t="s">
        <v>178</v>
      </c>
    </row>
    <row r="108" spans="1:25" x14ac:dyDescent="0.2">
      <c r="A108" s="9" t="s">
        <v>1142</v>
      </c>
      <c r="B108" s="10">
        <v>42814</v>
      </c>
      <c r="C108" s="9" t="s">
        <v>1143</v>
      </c>
      <c r="D108" s="9" t="s">
        <v>232</v>
      </c>
      <c r="E108" s="9" t="s">
        <v>2190</v>
      </c>
      <c r="F108" s="9">
        <v>1500000</v>
      </c>
      <c r="G108" s="8">
        <v>1824</v>
      </c>
      <c r="H108" s="4">
        <f t="shared" si="144"/>
        <v>0</v>
      </c>
      <c r="I108" s="4">
        <f t="shared" si="145"/>
        <v>1824</v>
      </c>
      <c r="J108" s="4">
        <f t="shared" si="146"/>
        <v>0</v>
      </c>
      <c r="K108" s="4">
        <f t="shared" si="147"/>
        <v>0</v>
      </c>
      <c r="L108" s="4">
        <f t="shared" si="148"/>
        <v>0</v>
      </c>
      <c r="M108" s="4">
        <f t="shared" si="149"/>
        <v>0</v>
      </c>
      <c r="N108" s="4">
        <f t="shared" si="150"/>
        <v>0</v>
      </c>
      <c r="O108" s="5">
        <f t="shared" si="151"/>
        <v>41</v>
      </c>
      <c r="P108" s="6" t="str">
        <f t="shared" si="152"/>
        <v>31 TO 45 Days</v>
      </c>
      <c r="Q108" s="7">
        <v>42855</v>
      </c>
      <c r="R108" s="6" t="s">
        <v>2178</v>
      </c>
      <c r="Y108" s="1" t="str">
        <f>"419748694"</f>
        <v>419748694</v>
      </c>
    </row>
    <row r="109" spans="1:25" x14ac:dyDescent="0.2">
      <c r="A109" s="9" t="s">
        <v>582</v>
      </c>
      <c r="B109" s="10">
        <v>42781</v>
      </c>
      <c r="C109" s="9" t="s">
        <v>583</v>
      </c>
      <c r="D109" s="9" t="s">
        <v>232</v>
      </c>
      <c r="E109" s="9" t="s">
        <v>2190</v>
      </c>
      <c r="F109" s="9">
        <v>1500000</v>
      </c>
      <c r="G109" s="8">
        <v>1850</v>
      </c>
      <c r="H109" s="4">
        <f t="shared" si="144"/>
        <v>0</v>
      </c>
      <c r="I109" s="4">
        <f t="shared" si="145"/>
        <v>0</v>
      </c>
      <c r="J109" s="4">
        <f t="shared" si="146"/>
        <v>0</v>
      </c>
      <c r="K109" s="4">
        <f t="shared" si="147"/>
        <v>1850</v>
      </c>
      <c r="L109" s="4">
        <f t="shared" si="148"/>
        <v>0</v>
      </c>
      <c r="M109" s="4">
        <f t="shared" si="149"/>
        <v>0</v>
      </c>
      <c r="N109" s="4">
        <f t="shared" si="150"/>
        <v>1850</v>
      </c>
      <c r="O109" s="5">
        <f t="shared" si="151"/>
        <v>74</v>
      </c>
      <c r="P109" s="6" t="str">
        <f t="shared" si="152"/>
        <v>61 To 90 Days</v>
      </c>
      <c r="Q109" s="7">
        <v>42855</v>
      </c>
      <c r="R109" s="6" t="s">
        <v>2178</v>
      </c>
      <c r="Y109" s="1" t="str">
        <f>"419747874"</f>
        <v>419747874</v>
      </c>
    </row>
    <row r="110" spans="1:25" x14ac:dyDescent="0.2">
      <c r="A110" s="9" t="s">
        <v>1728</v>
      </c>
      <c r="B110" s="10">
        <v>42830</v>
      </c>
      <c r="C110" s="9" t="s">
        <v>1729</v>
      </c>
      <c r="D110" s="9" t="s">
        <v>1378</v>
      </c>
      <c r="E110" s="9" t="s">
        <v>2190</v>
      </c>
      <c r="F110" s="9" t="e">
        <v>#N/A</v>
      </c>
      <c r="G110" s="8">
        <v>1886</v>
      </c>
      <c r="H110" s="4">
        <f t="shared" si="144"/>
        <v>1886</v>
      </c>
      <c r="I110" s="4">
        <f t="shared" si="145"/>
        <v>0</v>
      </c>
      <c r="J110" s="4">
        <f t="shared" si="146"/>
        <v>0</v>
      </c>
      <c r="K110" s="4">
        <f t="shared" si="147"/>
        <v>0</v>
      </c>
      <c r="L110" s="4">
        <f t="shared" si="148"/>
        <v>0</v>
      </c>
      <c r="M110" s="4">
        <f t="shared" si="149"/>
        <v>0</v>
      </c>
      <c r="N110" s="4">
        <f t="shared" si="150"/>
        <v>0</v>
      </c>
      <c r="O110" s="5">
        <f t="shared" si="151"/>
        <v>25</v>
      </c>
      <c r="P110" s="6" t="str">
        <f t="shared" si="152"/>
        <v>30 Days</v>
      </c>
      <c r="Q110" s="7">
        <v>42855</v>
      </c>
      <c r="R110" s="6" t="s">
        <v>2178</v>
      </c>
      <c r="Y110" s="1" t="str">
        <f>"4100144430"</f>
        <v>4100144430</v>
      </c>
    </row>
    <row r="111" spans="1:25" x14ac:dyDescent="0.2">
      <c r="A111" s="9" t="s">
        <v>1437</v>
      </c>
      <c r="B111" s="10">
        <v>42823</v>
      </c>
      <c r="C111" s="9" t="s">
        <v>1438</v>
      </c>
      <c r="D111" s="9" t="s">
        <v>232</v>
      </c>
      <c r="E111" s="9" t="s">
        <v>2190</v>
      </c>
      <c r="F111" s="9">
        <v>1500000</v>
      </c>
      <c r="G111" s="8">
        <v>1896</v>
      </c>
      <c r="H111" s="4">
        <f t="shared" ref="H111:H114" si="153">IF(O111&lt;=30,G111,0)</f>
        <v>0</v>
      </c>
      <c r="I111" s="4">
        <f t="shared" ref="I111:I114" si="154">IF(AND(O111&gt;30,O111&lt;=45),G111,0)</f>
        <v>1896</v>
      </c>
      <c r="J111" s="4">
        <f t="shared" ref="J111:J114" si="155">IF(AND(O111&gt;45,O111&lt;=60),G111,0)</f>
        <v>0</v>
      </c>
      <c r="K111" s="4">
        <f t="shared" ref="K111:K114" si="156">IF(AND(O111&gt;60,O111&lt;=90),G111,0)</f>
        <v>0</v>
      </c>
      <c r="L111" s="4">
        <f t="shared" ref="L111:L114" si="157">IF(AND(O111&gt;90,O111&lt;=120),G111,0)</f>
        <v>0</v>
      </c>
      <c r="M111" s="4">
        <f t="shared" ref="M111:M114" si="158">IF(O111&gt;120,G111,0)</f>
        <v>0</v>
      </c>
      <c r="N111" s="4">
        <f t="shared" ref="N111:N114" si="159">IF(O111&gt;60,G111,0)</f>
        <v>0</v>
      </c>
      <c r="O111" s="5">
        <f t="shared" ref="O111:O114" si="160">Q111-B111</f>
        <v>32</v>
      </c>
      <c r="P111" s="6" t="str">
        <f t="shared" ref="P111:P114" si="161">IF(AND(O111&lt;=30),"30 Days",IF(AND(O111&gt;30,O111&lt;=45),"31 TO 45 Days",IF(AND(O111&gt;45,O111&lt;=60),"46 To 60 Days",IF(AND(O111&gt;60,O111&lt;=90),"61 To 90 Days",IF(AND(O111&gt;90,O111&lt;=120),"91 To 120 Days",IF(AND(O111&gt;120),"Plus120Days",))))))</f>
        <v>31 TO 45 Days</v>
      </c>
      <c r="Q111" s="7">
        <v>42855</v>
      </c>
      <c r="R111" s="6" t="s">
        <v>2178</v>
      </c>
      <c r="Y111" s="1" t="str">
        <f>"419748993"</f>
        <v>419748993</v>
      </c>
    </row>
    <row r="112" spans="1:25" x14ac:dyDescent="0.2">
      <c r="A112" s="9" t="s">
        <v>1016</v>
      </c>
      <c r="B112" s="10">
        <v>42810</v>
      </c>
      <c r="C112" s="9" t="s">
        <v>1017</v>
      </c>
      <c r="D112" s="9" t="s">
        <v>154</v>
      </c>
      <c r="E112" s="9" t="s">
        <v>2190</v>
      </c>
      <c r="F112" s="9">
        <v>0</v>
      </c>
      <c r="G112" s="8">
        <v>1912</v>
      </c>
      <c r="H112" s="4">
        <f t="shared" si="153"/>
        <v>0</v>
      </c>
      <c r="I112" s="4">
        <f t="shared" si="154"/>
        <v>1912</v>
      </c>
      <c r="J112" s="4">
        <f t="shared" si="155"/>
        <v>0</v>
      </c>
      <c r="K112" s="4">
        <f t="shared" si="156"/>
        <v>0</v>
      </c>
      <c r="L112" s="4">
        <f t="shared" si="157"/>
        <v>0</v>
      </c>
      <c r="M112" s="4">
        <f t="shared" si="158"/>
        <v>0</v>
      </c>
      <c r="N112" s="4">
        <f t="shared" si="159"/>
        <v>0</v>
      </c>
      <c r="O112" s="5">
        <f t="shared" si="160"/>
        <v>45</v>
      </c>
      <c r="P112" s="6" t="str">
        <f t="shared" si="161"/>
        <v>31 TO 45 Days</v>
      </c>
      <c r="Q112" s="7">
        <v>42855</v>
      </c>
      <c r="R112" s="6" t="s">
        <v>2178</v>
      </c>
      <c r="Y112" s="1" t="str">
        <f>"4600158127"</f>
        <v>4600158127</v>
      </c>
    </row>
    <row r="113" spans="1:25" x14ac:dyDescent="0.2">
      <c r="A113" s="9" t="s">
        <v>454</v>
      </c>
      <c r="B113" s="10">
        <v>42768</v>
      </c>
      <c r="C113" s="9" t="s">
        <v>455</v>
      </c>
      <c r="D113" s="9" t="s">
        <v>20</v>
      </c>
      <c r="E113" s="9" t="s">
        <v>2190</v>
      </c>
      <c r="F113" s="9">
        <v>1000000</v>
      </c>
      <c r="G113" s="8">
        <v>1960</v>
      </c>
      <c r="H113" s="4">
        <f t="shared" si="153"/>
        <v>0</v>
      </c>
      <c r="I113" s="4">
        <f t="shared" si="154"/>
        <v>0</v>
      </c>
      <c r="J113" s="4">
        <f t="shared" si="155"/>
        <v>0</v>
      </c>
      <c r="K113" s="4">
        <f t="shared" si="156"/>
        <v>1960</v>
      </c>
      <c r="L113" s="4">
        <f t="shared" si="157"/>
        <v>0</v>
      </c>
      <c r="M113" s="4">
        <f t="shared" si="158"/>
        <v>0</v>
      </c>
      <c r="N113" s="4">
        <f t="shared" si="159"/>
        <v>1960</v>
      </c>
      <c r="O113" s="5">
        <f t="shared" si="160"/>
        <v>87</v>
      </c>
      <c r="P113" s="6" t="str">
        <f t="shared" si="161"/>
        <v>61 To 90 Days</v>
      </c>
      <c r="Q113" s="7">
        <v>42855</v>
      </c>
      <c r="R113" s="6" t="s">
        <v>2178</v>
      </c>
      <c r="Y113" s="1" t="str">
        <f>"4100143756"</f>
        <v>4100143756</v>
      </c>
    </row>
    <row r="114" spans="1:25" x14ac:dyDescent="0.2">
      <c r="A114" s="9" t="s">
        <v>584</v>
      </c>
      <c r="B114" s="10">
        <v>42781</v>
      </c>
      <c r="C114" s="9" t="s">
        <v>585</v>
      </c>
      <c r="D114" s="9" t="s">
        <v>232</v>
      </c>
      <c r="E114" s="9" t="s">
        <v>2190</v>
      </c>
      <c r="F114" s="9">
        <v>1500000</v>
      </c>
      <c r="G114" s="8">
        <v>1968</v>
      </c>
      <c r="H114" s="4">
        <f t="shared" si="153"/>
        <v>0</v>
      </c>
      <c r="I114" s="4">
        <f t="shared" si="154"/>
        <v>0</v>
      </c>
      <c r="J114" s="4">
        <f t="shared" si="155"/>
        <v>0</v>
      </c>
      <c r="K114" s="4">
        <f t="shared" si="156"/>
        <v>1968</v>
      </c>
      <c r="L114" s="4">
        <f t="shared" si="157"/>
        <v>0</v>
      </c>
      <c r="M114" s="4">
        <f t="shared" si="158"/>
        <v>0</v>
      </c>
      <c r="N114" s="4">
        <f t="shared" si="159"/>
        <v>1968</v>
      </c>
      <c r="O114" s="5">
        <f t="shared" si="160"/>
        <v>74</v>
      </c>
      <c r="P114" s="6" t="str">
        <f t="shared" si="161"/>
        <v>61 To 90 Days</v>
      </c>
      <c r="Q114" s="7">
        <v>42855</v>
      </c>
      <c r="R114" s="6" t="s">
        <v>2178</v>
      </c>
      <c r="Y114" s="1" t="str">
        <f>"419747946"</f>
        <v>419747946</v>
      </c>
    </row>
    <row r="115" spans="1:25" x14ac:dyDescent="0.2">
      <c r="A115" s="9" t="s">
        <v>387</v>
      </c>
      <c r="B115" s="10">
        <v>42760</v>
      </c>
      <c r="C115" s="9" t="s">
        <v>388</v>
      </c>
      <c r="D115" s="9" t="s">
        <v>232</v>
      </c>
      <c r="E115" s="9" t="s">
        <v>2190</v>
      </c>
      <c r="F115" s="9">
        <v>1500000</v>
      </c>
      <c r="G115" s="8">
        <v>2119</v>
      </c>
      <c r="H115" s="4">
        <f t="shared" ref="H115:H116" si="162">IF(O115&lt;=30,G115,0)</f>
        <v>0</v>
      </c>
      <c r="I115" s="4">
        <f t="shared" ref="I115:I116" si="163">IF(AND(O115&gt;30,O115&lt;=45),G115,0)</f>
        <v>0</v>
      </c>
      <c r="J115" s="4">
        <f t="shared" ref="J115:J116" si="164">IF(AND(O115&gt;45,O115&lt;=60),G115,0)</f>
        <v>0</v>
      </c>
      <c r="K115" s="4">
        <f t="shared" ref="K115:K116" si="165">IF(AND(O115&gt;60,O115&lt;=90),G115,0)</f>
        <v>0</v>
      </c>
      <c r="L115" s="4">
        <f t="shared" ref="L115:L116" si="166">IF(AND(O115&gt;90,O115&lt;=120),G115,0)</f>
        <v>2119</v>
      </c>
      <c r="M115" s="4">
        <f t="shared" ref="M115:M116" si="167">IF(O115&gt;120,G115,0)</f>
        <v>0</v>
      </c>
      <c r="N115" s="4">
        <f t="shared" ref="N115:N116" si="168">IF(O115&gt;60,G115,0)</f>
        <v>2119</v>
      </c>
      <c r="O115" s="5">
        <f t="shared" ref="O115:O116" si="169">Q115-B115</f>
        <v>95</v>
      </c>
      <c r="P115" s="6" t="str">
        <f t="shared" ref="P115:P116" si="170">IF(AND(O115&lt;=30),"30 Days",IF(AND(O115&gt;30,O115&lt;=45),"31 TO 45 Days",IF(AND(O115&gt;45,O115&lt;=60),"46 To 60 Days",IF(AND(O115&gt;60,O115&lt;=90),"61 To 90 Days",IF(AND(O115&gt;90,O115&lt;=120),"91 To 120 Days",IF(AND(O115&gt;120),"Plus120Days",))))))</f>
        <v>91 To 120 Days</v>
      </c>
      <c r="Q115" s="7">
        <v>42855</v>
      </c>
      <c r="R115" s="6" t="s">
        <v>2178</v>
      </c>
      <c r="Y115" s="1" t="str">
        <f>"4052198934"</f>
        <v>4052198934</v>
      </c>
    </row>
    <row r="116" spans="1:25" x14ac:dyDescent="0.2">
      <c r="A116" s="9" t="s">
        <v>2153</v>
      </c>
      <c r="B116" s="10">
        <v>42840</v>
      </c>
      <c r="C116" s="9" t="s">
        <v>2154</v>
      </c>
      <c r="D116" s="9" t="s">
        <v>2152</v>
      </c>
      <c r="E116" s="9" t="s">
        <v>2190</v>
      </c>
      <c r="F116" s="9">
        <v>0</v>
      </c>
      <c r="G116" s="8">
        <v>2149</v>
      </c>
      <c r="H116" s="4">
        <f t="shared" si="162"/>
        <v>2149</v>
      </c>
      <c r="I116" s="4">
        <f t="shared" si="163"/>
        <v>0</v>
      </c>
      <c r="J116" s="4">
        <f t="shared" si="164"/>
        <v>0</v>
      </c>
      <c r="K116" s="4">
        <f t="shared" si="165"/>
        <v>0</v>
      </c>
      <c r="L116" s="4">
        <f t="shared" si="166"/>
        <v>0</v>
      </c>
      <c r="M116" s="4">
        <f t="shared" si="167"/>
        <v>0</v>
      </c>
      <c r="N116" s="4">
        <f t="shared" si="168"/>
        <v>0</v>
      </c>
      <c r="O116" s="5">
        <f t="shared" si="169"/>
        <v>15</v>
      </c>
      <c r="P116" s="6" t="str">
        <f t="shared" si="170"/>
        <v>30 Days</v>
      </c>
      <c r="Q116" s="7">
        <v>42855</v>
      </c>
      <c r="R116" s="6" t="str">
        <f>VLOOKUP(A116:A2618,[1]BOM_INV_OPERATOR_DETAILS_OUTPUT!$A$2:$D$1233,4,FALSE)</f>
        <v>AI</v>
      </c>
      <c r="Y116" s="1" t="str">
        <f>"4052210273"</f>
        <v>4052210273</v>
      </c>
    </row>
    <row r="117" spans="1:25" x14ac:dyDescent="0.2">
      <c r="A117" s="9" t="s">
        <v>1782</v>
      </c>
      <c r="B117" s="10">
        <v>42832</v>
      </c>
      <c r="C117" s="9" t="s">
        <v>1783</v>
      </c>
      <c r="D117" s="9" t="s">
        <v>1781</v>
      </c>
      <c r="E117" s="9" t="s">
        <v>2190</v>
      </c>
      <c r="F117" s="9">
        <v>0</v>
      </c>
      <c r="G117" s="8">
        <v>2231</v>
      </c>
      <c r="H117" s="4">
        <f t="shared" ref="H117:H118" si="171">IF(O117&lt;=30,G117,0)</f>
        <v>2231</v>
      </c>
      <c r="I117" s="4">
        <f t="shared" ref="I117:I118" si="172">IF(AND(O117&gt;30,O117&lt;=45),G117,0)</f>
        <v>0</v>
      </c>
      <c r="J117" s="4">
        <f t="shared" ref="J117:J118" si="173">IF(AND(O117&gt;45,O117&lt;=60),G117,0)</f>
        <v>0</v>
      </c>
      <c r="K117" s="4">
        <f t="shared" ref="K117:K118" si="174">IF(AND(O117&gt;60,O117&lt;=90),G117,0)</f>
        <v>0</v>
      </c>
      <c r="L117" s="4">
        <f t="shared" ref="L117:L118" si="175">IF(AND(O117&gt;90,O117&lt;=120),G117,0)</f>
        <v>0</v>
      </c>
      <c r="M117" s="4">
        <f t="shared" ref="M117:M118" si="176">IF(O117&gt;120,G117,0)</f>
        <v>0</v>
      </c>
      <c r="N117" s="4">
        <f t="shared" ref="N117:N118" si="177">IF(O117&gt;60,G117,0)</f>
        <v>0</v>
      </c>
      <c r="O117" s="5">
        <f t="shared" ref="O117:O118" si="178">Q117-B117</f>
        <v>23</v>
      </c>
      <c r="P117" s="6" t="str">
        <f t="shared" ref="P117:P118" si="179">IF(AND(O117&lt;=30),"30 Days",IF(AND(O117&gt;30,O117&lt;=45),"31 TO 45 Days",IF(AND(O117&gt;45,O117&lt;=60),"46 To 60 Days",IF(AND(O117&gt;60,O117&lt;=90),"61 To 90 Days",IF(AND(O117&gt;90,O117&lt;=120),"91 To 120 Days",IF(AND(O117&gt;120),"Plus120Days",))))))</f>
        <v>30 Days</v>
      </c>
      <c r="Q117" s="7">
        <v>42855</v>
      </c>
      <c r="R117" s="6" t="s">
        <v>2178</v>
      </c>
      <c r="Y117" s="1" t="str">
        <f>"410291594"</f>
        <v>410291594</v>
      </c>
    </row>
    <row r="118" spans="1:25" x14ac:dyDescent="0.2">
      <c r="A118" s="9" t="s">
        <v>1013</v>
      </c>
      <c r="B118" s="10">
        <v>42809</v>
      </c>
      <c r="C118" s="9" t="s">
        <v>1014</v>
      </c>
      <c r="D118" s="9" t="s">
        <v>565</v>
      </c>
      <c r="E118" s="9" t="s">
        <v>2190</v>
      </c>
      <c r="F118" s="9">
        <v>500000</v>
      </c>
      <c r="G118" s="8">
        <v>2243</v>
      </c>
      <c r="H118" s="4">
        <f t="shared" si="171"/>
        <v>0</v>
      </c>
      <c r="I118" s="4">
        <f t="shared" si="172"/>
        <v>0</v>
      </c>
      <c r="J118" s="4">
        <f t="shared" si="173"/>
        <v>2243</v>
      </c>
      <c r="K118" s="4">
        <f t="shared" si="174"/>
        <v>0</v>
      </c>
      <c r="L118" s="4">
        <f t="shared" si="175"/>
        <v>0</v>
      </c>
      <c r="M118" s="4">
        <f t="shared" si="176"/>
        <v>0</v>
      </c>
      <c r="N118" s="4">
        <f t="shared" si="177"/>
        <v>0</v>
      </c>
      <c r="O118" s="5">
        <f t="shared" si="178"/>
        <v>46</v>
      </c>
      <c r="P118" s="6" t="str">
        <f t="shared" si="179"/>
        <v>46 To 60 Days</v>
      </c>
      <c r="Q118" s="7">
        <v>42855</v>
      </c>
      <c r="R118" s="6" t="s">
        <v>2178</v>
      </c>
      <c r="Y118" s="1" t="str">
        <f>"415953976"</f>
        <v>415953976</v>
      </c>
    </row>
    <row r="119" spans="1:25" x14ac:dyDescent="0.2">
      <c r="A119" s="9" t="s">
        <v>135</v>
      </c>
      <c r="B119" s="10">
        <v>42528</v>
      </c>
      <c r="C119" s="9" t="s">
        <v>136</v>
      </c>
      <c r="D119" s="9" t="s">
        <v>30</v>
      </c>
      <c r="E119" s="9" t="s">
        <v>2190</v>
      </c>
      <c r="F119" s="9">
        <v>700000</v>
      </c>
      <c r="G119" s="8">
        <v>2300</v>
      </c>
      <c r="H119" s="4">
        <f t="shared" ref="H119:H132" si="180">IF(O119&lt;=30,G119,0)</f>
        <v>0</v>
      </c>
      <c r="I119" s="4">
        <f t="shared" ref="I119:I132" si="181">IF(AND(O119&gt;30,O119&lt;=45),G119,0)</f>
        <v>0</v>
      </c>
      <c r="J119" s="4">
        <f t="shared" ref="J119:J132" si="182">IF(AND(O119&gt;45,O119&lt;=60),G119,0)</f>
        <v>0</v>
      </c>
      <c r="K119" s="4">
        <f t="shared" ref="K119:K132" si="183">IF(AND(O119&gt;60,O119&lt;=90),G119,0)</f>
        <v>0</v>
      </c>
      <c r="L119" s="4">
        <f t="shared" ref="L119:L132" si="184">IF(AND(O119&gt;90,O119&lt;=120),G119,0)</f>
        <v>0</v>
      </c>
      <c r="M119" s="4">
        <f t="shared" ref="M119:M132" si="185">IF(O119&gt;120,G119,0)</f>
        <v>2300</v>
      </c>
      <c r="N119" s="4">
        <f t="shared" ref="N119:N132" si="186">IF(O119&gt;60,G119,0)</f>
        <v>2300</v>
      </c>
      <c r="O119" s="5">
        <f t="shared" ref="O119:O132" si="187">Q119-B119</f>
        <v>327</v>
      </c>
      <c r="P119" s="6" t="str">
        <f t="shared" ref="P119:P132" si="188">IF(AND(O119&lt;=30),"30 Days",IF(AND(O119&gt;30,O119&lt;=45),"31 TO 45 Days",IF(AND(O119&gt;45,O119&lt;=60),"46 To 60 Days",IF(AND(O119&gt;60,O119&lt;=90),"61 To 90 Days",IF(AND(O119&gt;90,O119&lt;=120),"91 To 120 Days",IF(AND(O119&gt;120),"Plus120Days",))))))</f>
        <v>Plus120Days</v>
      </c>
      <c r="Q119" s="7">
        <v>42855</v>
      </c>
      <c r="R119" s="6" t="s">
        <v>2178</v>
      </c>
      <c r="Y119" s="1" t="str">
        <f>"4041665818"</f>
        <v>4041665818</v>
      </c>
    </row>
    <row r="120" spans="1:25" x14ac:dyDescent="0.2">
      <c r="A120" s="9" t="s">
        <v>1692</v>
      </c>
      <c r="B120" s="10">
        <v>42830</v>
      </c>
      <c r="C120" s="9" t="s">
        <v>1693</v>
      </c>
      <c r="D120" s="9" t="s">
        <v>1691</v>
      </c>
      <c r="E120" s="9" t="s">
        <v>2190</v>
      </c>
      <c r="F120" s="9">
        <v>0</v>
      </c>
      <c r="G120" s="8">
        <v>2300</v>
      </c>
      <c r="H120" s="4">
        <f t="shared" si="180"/>
        <v>2300</v>
      </c>
      <c r="I120" s="4">
        <f t="shared" si="181"/>
        <v>0</v>
      </c>
      <c r="J120" s="4">
        <f t="shared" si="182"/>
        <v>0</v>
      </c>
      <c r="K120" s="4">
        <f t="shared" si="183"/>
        <v>0</v>
      </c>
      <c r="L120" s="4">
        <f t="shared" si="184"/>
        <v>0</v>
      </c>
      <c r="M120" s="4">
        <f t="shared" si="185"/>
        <v>0</v>
      </c>
      <c r="N120" s="4">
        <f t="shared" si="186"/>
        <v>0</v>
      </c>
      <c r="O120" s="5">
        <f t="shared" si="187"/>
        <v>25</v>
      </c>
      <c r="P120" s="6" t="str">
        <f t="shared" si="188"/>
        <v>30 Days</v>
      </c>
      <c r="Q120" s="7">
        <v>42855</v>
      </c>
      <c r="R120" s="6" t="s">
        <v>2178</v>
      </c>
      <c r="Y120" s="1" t="str">
        <f>"4041696850"</f>
        <v>4041696850</v>
      </c>
    </row>
    <row r="121" spans="1:25" x14ac:dyDescent="0.2">
      <c r="A121" s="9" t="s">
        <v>524</v>
      </c>
      <c r="B121" s="10">
        <v>42776</v>
      </c>
      <c r="C121" s="9" t="s">
        <v>525</v>
      </c>
      <c r="D121" s="9" t="s">
        <v>184</v>
      </c>
      <c r="E121" s="9" t="s">
        <v>2190</v>
      </c>
      <c r="F121" s="9">
        <v>442000</v>
      </c>
      <c r="G121" s="8">
        <v>2300</v>
      </c>
      <c r="H121" s="4">
        <f t="shared" si="180"/>
        <v>0</v>
      </c>
      <c r="I121" s="4">
        <f t="shared" si="181"/>
        <v>0</v>
      </c>
      <c r="J121" s="4">
        <f t="shared" si="182"/>
        <v>0</v>
      </c>
      <c r="K121" s="4">
        <f t="shared" si="183"/>
        <v>2300</v>
      </c>
      <c r="L121" s="4">
        <f t="shared" si="184"/>
        <v>0</v>
      </c>
      <c r="M121" s="4">
        <f t="shared" si="185"/>
        <v>0</v>
      </c>
      <c r="N121" s="4">
        <f t="shared" si="186"/>
        <v>2300</v>
      </c>
      <c r="O121" s="5">
        <f t="shared" si="187"/>
        <v>79</v>
      </c>
      <c r="P121" s="6" t="str">
        <f t="shared" si="188"/>
        <v>61 To 90 Days</v>
      </c>
      <c r="Q121" s="7">
        <v>42855</v>
      </c>
      <c r="R121" s="6" t="s">
        <v>2178</v>
      </c>
      <c r="Y121" s="1" t="str">
        <f>"4041691567"</f>
        <v>4041691567</v>
      </c>
    </row>
    <row r="122" spans="1:25" x14ac:dyDescent="0.2">
      <c r="A122" s="9" t="s">
        <v>549</v>
      </c>
      <c r="B122" s="10">
        <v>42779</v>
      </c>
      <c r="C122" s="9" t="s">
        <v>550</v>
      </c>
      <c r="D122" s="9" t="s">
        <v>184</v>
      </c>
      <c r="E122" s="9" t="s">
        <v>2190</v>
      </c>
      <c r="F122" s="9">
        <v>442000</v>
      </c>
      <c r="G122" s="8">
        <v>2300</v>
      </c>
      <c r="H122" s="4">
        <f t="shared" si="180"/>
        <v>0</v>
      </c>
      <c r="I122" s="4">
        <f t="shared" si="181"/>
        <v>0</v>
      </c>
      <c r="J122" s="4">
        <f t="shared" si="182"/>
        <v>0</v>
      </c>
      <c r="K122" s="4">
        <f t="shared" si="183"/>
        <v>2300</v>
      </c>
      <c r="L122" s="4">
        <f t="shared" si="184"/>
        <v>0</v>
      </c>
      <c r="M122" s="4">
        <f t="shared" si="185"/>
        <v>0</v>
      </c>
      <c r="N122" s="4">
        <f t="shared" si="186"/>
        <v>2300</v>
      </c>
      <c r="O122" s="5">
        <f t="shared" si="187"/>
        <v>76</v>
      </c>
      <c r="P122" s="6" t="str">
        <f t="shared" si="188"/>
        <v>61 To 90 Days</v>
      </c>
      <c r="Q122" s="7">
        <v>42855</v>
      </c>
      <c r="R122" s="6" t="s">
        <v>2178</v>
      </c>
      <c r="Y122" s="1" t="str">
        <f>"4041691148"</f>
        <v>4041691148</v>
      </c>
    </row>
    <row r="123" spans="1:25" x14ac:dyDescent="0.2">
      <c r="A123" s="9" t="s">
        <v>561</v>
      </c>
      <c r="B123" s="10">
        <v>42779</v>
      </c>
      <c r="C123" s="9" t="s">
        <v>562</v>
      </c>
      <c r="D123" s="9" t="s">
        <v>184</v>
      </c>
      <c r="E123" s="9" t="s">
        <v>2190</v>
      </c>
      <c r="F123" s="9">
        <v>442000</v>
      </c>
      <c r="G123" s="8">
        <v>2300</v>
      </c>
      <c r="H123" s="4">
        <f t="shared" si="180"/>
        <v>0</v>
      </c>
      <c r="I123" s="4">
        <f t="shared" si="181"/>
        <v>0</v>
      </c>
      <c r="J123" s="4">
        <f t="shared" si="182"/>
        <v>0</v>
      </c>
      <c r="K123" s="4">
        <f t="shared" si="183"/>
        <v>2300</v>
      </c>
      <c r="L123" s="4">
        <f t="shared" si="184"/>
        <v>0</v>
      </c>
      <c r="M123" s="4">
        <f t="shared" si="185"/>
        <v>0</v>
      </c>
      <c r="N123" s="4">
        <f t="shared" si="186"/>
        <v>2300</v>
      </c>
      <c r="O123" s="5">
        <f t="shared" si="187"/>
        <v>76</v>
      </c>
      <c r="P123" s="6" t="str">
        <f t="shared" si="188"/>
        <v>61 To 90 Days</v>
      </c>
      <c r="Q123" s="7">
        <v>42855</v>
      </c>
      <c r="R123" s="6" t="s">
        <v>2178</v>
      </c>
      <c r="Y123" s="1" t="str">
        <f>"4041691133"</f>
        <v>4041691133</v>
      </c>
    </row>
    <row r="124" spans="1:25" x14ac:dyDescent="0.2">
      <c r="A124" s="9" t="s">
        <v>606</v>
      </c>
      <c r="B124" s="10">
        <v>42783</v>
      </c>
      <c r="C124" s="9" t="s">
        <v>607</v>
      </c>
      <c r="D124" s="9" t="s">
        <v>184</v>
      </c>
      <c r="E124" s="9" t="s">
        <v>2190</v>
      </c>
      <c r="F124" s="9">
        <v>442000</v>
      </c>
      <c r="G124" s="8">
        <v>2300</v>
      </c>
      <c r="H124" s="4">
        <f t="shared" si="180"/>
        <v>0</v>
      </c>
      <c r="I124" s="4">
        <f t="shared" si="181"/>
        <v>0</v>
      </c>
      <c r="J124" s="4">
        <f t="shared" si="182"/>
        <v>0</v>
      </c>
      <c r="K124" s="4">
        <f t="shared" si="183"/>
        <v>2300</v>
      </c>
      <c r="L124" s="4">
        <f t="shared" si="184"/>
        <v>0</v>
      </c>
      <c r="M124" s="4">
        <f t="shared" si="185"/>
        <v>0</v>
      </c>
      <c r="N124" s="4">
        <f t="shared" si="186"/>
        <v>2300</v>
      </c>
      <c r="O124" s="5">
        <f t="shared" si="187"/>
        <v>72</v>
      </c>
      <c r="P124" s="6" t="str">
        <f t="shared" si="188"/>
        <v>61 To 90 Days</v>
      </c>
      <c r="Q124" s="7">
        <v>42855</v>
      </c>
      <c r="R124" s="6" t="s">
        <v>2178</v>
      </c>
      <c r="Y124" s="1" t="str">
        <f>"4041692420"</f>
        <v>4041692420</v>
      </c>
    </row>
    <row r="125" spans="1:25" x14ac:dyDescent="0.2">
      <c r="A125" s="9" t="s">
        <v>965</v>
      </c>
      <c r="B125" s="10">
        <v>42804</v>
      </c>
      <c r="C125" s="9" t="s">
        <v>966</v>
      </c>
      <c r="D125" s="9" t="s">
        <v>184</v>
      </c>
      <c r="E125" s="9" t="s">
        <v>2190</v>
      </c>
      <c r="F125" s="9">
        <v>442000</v>
      </c>
      <c r="G125" s="8">
        <v>2300</v>
      </c>
      <c r="H125" s="4">
        <f t="shared" si="180"/>
        <v>0</v>
      </c>
      <c r="I125" s="4">
        <f t="shared" si="181"/>
        <v>0</v>
      </c>
      <c r="J125" s="4">
        <f t="shared" si="182"/>
        <v>2300</v>
      </c>
      <c r="K125" s="4">
        <f t="shared" si="183"/>
        <v>0</v>
      </c>
      <c r="L125" s="4">
        <f t="shared" si="184"/>
        <v>0</v>
      </c>
      <c r="M125" s="4">
        <f t="shared" si="185"/>
        <v>0</v>
      </c>
      <c r="N125" s="4">
        <f t="shared" si="186"/>
        <v>0</v>
      </c>
      <c r="O125" s="5">
        <f t="shared" si="187"/>
        <v>51</v>
      </c>
      <c r="P125" s="6" t="str">
        <f t="shared" si="188"/>
        <v>46 To 60 Days</v>
      </c>
      <c r="Q125" s="7">
        <v>42855</v>
      </c>
      <c r="R125" s="6" t="s">
        <v>2178</v>
      </c>
      <c r="Y125" s="1" t="str">
        <f>"4041694067"</f>
        <v>4041694067</v>
      </c>
    </row>
    <row r="126" spans="1:25" x14ac:dyDescent="0.2">
      <c r="A126" s="9" t="s">
        <v>1684</v>
      </c>
      <c r="B126" s="10">
        <v>42830</v>
      </c>
      <c r="C126" s="9" t="s">
        <v>1685</v>
      </c>
      <c r="D126" s="9" t="s">
        <v>1676</v>
      </c>
      <c r="E126" s="9" t="s">
        <v>2190</v>
      </c>
      <c r="F126" s="9">
        <v>0</v>
      </c>
      <c r="G126" s="8">
        <v>2300</v>
      </c>
      <c r="H126" s="4">
        <f t="shared" si="180"/>
        <v>2300</v>
      </c>
      <c r="I126" s="4">
        <f t="shared" si="181"/>
        <v>0</v>
      </c>
      <c r="J126" s="4">
        <f t="shared" si="182"/>
        <v>0</v>
      </c>
      <c r="K126" s="4">
        <f t="shared" si="183"/>
        <v>0</v>
      </c>
      <c r="L126" s="4">
        <f t="shared" si="184"/>
        <v>0</v>
      </c>
      <c r="M126" s="4">
        <f t="shared" si="185"/>
        <v>0</v>
      </c>
      <c r="N126" s="4">
        <f t="shared" si="186"/>
        <v>0</v>
      </c>
      <c r="O126" s="5">
        <f t="shared" si="187"/>
        <v>25</v>
      </c>
      <c r="P126" s="6" t="str">
        <f t="shared" si="188"/>
        <v>30 Days</v>
      </c>
      <c r="Q126" s="7">
        <v>42855</v>
      </c>
      <c r="R126" s="6" t="s">
        <v>2178</v>
      </c>
      <c r="Y126" s="1" t="str">
        <f>"4041696793"</f>
        <v>4041696793</v>
      </c>
    </row>
    <row r="127" spans="1:25" x14ac:dyDescent="0.2">
      <c r="A127" s="9" t="s">
        <v>1913</v>
      </c>
      <c r="B127" s="10">
        <v>42835</v>
      </c>
      <c r="C127" s="9" t="s">
        <v>1914</v>
      </c>
      <c r="D127" s="9" t="s">
        <v>1912</v>
      </c>
      <c r="E127" s="9" t="s">
        <v>2190</v>
      </c>
      <c r="F127" s="9">
        <v>0</v>
      </c>
      <c r="G127" s="8">
        <v>2300</v>
      </c>
      <c r="H127" s="4">
        <f t="shared" si="180"/>
        <v>2300</v>
      </c>
      <c r="I127" s="4">
        <f t="shared" si="181"/>
        <v>0</v>
      </c>
      <c r="J127" s="4">
        <f t="shared" si="182"/>
        <v>0</v>
      </c>
      <c r="K127" s="4">
        <f t="shared" si="183"/>
        <v>0</v>
      </c>
      <c r="L127" s="4">
        <f t="shared" si="184"/>
        <v>0</v>
      </c>
      <c r="M127" s="4">
        <f t="shared" si="185"/>
        <v>0</v>
      </c>
      <c r="N127" s="4">
        <f t="shared" si="186"/>
        <v>0</v>
      </c>
      <c r="O127" s="5">
        <f t="shared" si="187"/>
        <v>20</v>
      </c>
      <c r="P127" s="6" t="str">
        <f t="shared" si="188"/>
        <v>30 Days</v>
      </c>
      <c r="Q127" s="7">
        <v>42855</v>
      </c>
      <c r="R127" s="6" t="str">
        <f>VLOOKUP(A127:A2731,[1]BOM_INV_OPERATOR_DETAILS_OUTPUT!$A$2:$D$1233,4,FALSE)</f>
        <v>AI</v>
      </c>
      <c r="Y127" s="1" t="str">
        <f>"4395876574"</f>
        <v>4395876574</v>
      </c>
    </row>
    <row r="128" spans="1:25" x14ac:dyDescent="0.2">
      <c r="A128" s="9" t="s">
        <v>880</v>
      </c>
      <c r="B128" s="10">
        <v>42797</v>
      </c>
      <c r="C128" s="9" t="s">
        <v>881</v>
      </c>
      <c r="D128" s="9" t="s">
        <v>48</v>
      </c>
      <c r="E128" s="9" t="s">
        <v>2190</v>
      </c>
      <c r="F128" s="9">
        <v>300000</v>
      </c>
      <c r="G128" s="8">
        <v>2300</v>
      </c>
      <c r="H128" s="4">
        <f t="shared" si="180"/>
        <v>0</v>
      </c>
      <c r="I128" s="4">
        <f t="shared" si="181"/>
        <v>0</v>
      </c>
      <c r="J128" s="4">
        <f t="shared" si="182"/>
        <v>2300</v>
      </c>
      <c r="K128" s="4">
        <f t="shared" si="183"/>
        <v>0</v>
      </c>
      <c r="L128" s="4">
        <f t="shared" si="184"/>
        <v>0</v>
      </c>
      <c r="M128" s="4">
        <f t="shared" si="185"/>
        <v>0</v>
      </c>
      <c r="N128" s="4">
        <f t="shared" si="186"/>
        <v>0</v>
      </c>
      <c r="O128" s="5">
        <f t="shared" si="187"/>
        <v>58</v>
      </c>
      <c r="P128" s="6" t="str">
        <f t="shared" si="188"/>
        <v>46 To 60 Days</v>
      </c>
      <c r="Q128" s="7">
        <v>42855</v>
      </c>
      <c r="R128" s="6" t="s">
        <v>2178</v>
      </c>
      <c r="Y128" s="1" t="str">
        <f>"4570269231"</f>
        <v>4570269231</v>
      </c>
    </row>
    <row r="129" spans="1:25" x14ac:dyDescent="0.2">
      <c r="A129" s="9" t="s">
        <v>1840</v>
      </c>
      <c r="B129" s="10">
        <v>42835</v>
      </c>
      <c r="C129" s="9" t="s">
        <v>1841</v>
      </c>
      <c r="D129" s="9" t="s">
        <v>179</v>
      </c>
      <c r="E129" s="9" t="s">
        <v>2190</v>
      </c>
      <c r="F129" s="9">
        <v>0</v>
      </c>
      <c r="G129" s="8">
        <v>2329</v>
      </c>
      <c r="H129" s="4">
        <f t="shared" si="180"/>
        <v>2329</v>
      </c>
      <c r="I129" s="4">
        <f t="shared" si="181"/>
        <v>0</v>
      </c>
      <c r="J129" s="4">
        <f t="shared" si="182"/>
        <v>0</v>
      </c>
      <c r="K129" s="4">
        <f t="shared" si="183"/>
        <v>0</v>
      </c>
      <c r="L129" s="4">
        <f t="shared" si="184"/>
        <v>0</v>
      </c>
      <c r="M129" s="4">
        <f t="shared" si="185"/>
        <v>0</v>
      </c>
      <c r="N129" s="4">
        <f t="shared" si="186"/>
        <v>0</v>
      </c>
      <c r="O129" s="5">
        <f t="shared" si="187"/>
        <v>20</v>
      </c>
      <c r="P129" s="6" t="str">
        <f t="shared" si="188"/>
        <v>30 Days</v>
      </c>
      <c r="Q129" s="7">
        <v>42855</v>
      </c>
      <c r="R129" s="6" t="str">
        <f>VLOOKUP(A129:A2748,[1]BOM_INV_OPERATOR_DETAILS_OUTPUT!$A$2:$D$1233,4,FALSE)</f>
        <v>AI</v>
      </c>
      <c r="Y129" s="1" t="str">
        <f>"419747228"</f>
        <v>419747228</v>
      </c>
    </row>
    <row r="130" spans="1:25" x14ac:dyDescent="0.2">
      <c r="A130" s="9" t="s">
        <v>1081</v>
      </c>
      <c r="B130" s="10">
        <v>42812</v>
      </c>
      <c r="C130" s="9" t="s">
        <v>1082</v>
      </c>
      <c r="D130" s="9" t="s">
        <v>48</v>
      </c>
      <c r="E130" s="9" t="s">
        <v>2190</v>
      </c>
      <c r="F130" s="9">
        <v>300000</v>
      </c>
      <c r="G130" s="8">
        <v>2329</v>
      </c>
      <c r="H130" s="4">
        <f t="shared" si="180"/>
        <v>0</v>
      </c>
      <c r="I130" s="4">
        <f t="shared" si="181"/>
        <v>2329</v>
      </c>
      <c r="J130" s="4">
        <f t="shared" si="182"/>
        <v>0</v>
      </c>
      <c r="K130" s="4">
        <f t="shared" si="183"/>
        <v>0</v>
      </c>
      <c r="L130" s="4">
        <f t="shared" si="184"/>
        <v>0</v>
      </c>
      <c r="M130" s="4">
        <f t="shared" si="185"/>
        <v>0</v>
      </c>
      <c r="N130" s="4">
        <f t="shared" si="186"/>
        <v>0</v>
      </c>
      <c r="O130" s="5">
        <f t="shared" si="187"/>
        <v>43</v>
      </c>
      <c r="P130" s="6" t="str">
        <f t="shared" si="188"/>
        <v>31 TO 45 Days</v>
      </c>
      <c r="Q130" s="7">
        <v>42855</v>
      </c>
      <c r="R130" s="6" t="s">
        <v>2178</v>
      </c>
      <c r="Y130" s="1" t="str">
        <f>"4570270203"</f>
        <v>4570270203</v>
      </c>
    </row>
    <row r="131" spans="1:25" x14ac:dyDescent="0.2">
      <c r="A131" s="9" t="s">
        <v>2117</v>
      </c>
      <c r="B131" s="10">
        <v>42840</v>
      </c>
      <c r="C131" s="9" t="s">
        <v>2118</v>
      </c>
      <c r="D131" s="9" t="s">
        <v>179</v>
      </c>
      <c r="E131" s="9" t="s">
        <v>2190</v>
      </c>
      <c r="F131" s="9">
        <v>0</v>
      </c>
      <c r="G131" s="8">
        <v>2330</v>
      </c>
      <c r="H131" s="4">
        <f t="shared" si="180"/>
        <v>2330</v>
      </c>
      <c r="I131" s="4">
        <f t="shared" si="181"/>
        <v>0</v>
      </c>
      <c r="J131" s="4">
        <f t="shared" si="182"/>
        <v>0</v>
      </c>
      <c r="K131" s="4">
        <f t="shared" si="183"/>
        <v>0</v>
      </c>
      <c r="L131" s="4">
        <f t="shared" si="184"/>
        <v>0</v>
      </c>
      <c r="M131" s="4">
        <f t="shared" si="185"/>
        <v>0</v>
      </c>
      <c r="N131" s="4">
        <f t="shared" si="186"/>
        <v>0</v>
      </c>
      <c r="O131" s="5">
        <f t="shared" si="187"/>
        <v>15</v>
      </c>
      <c r="P131" s="6" t="str">
        <f t="shared" si="188"/>
        <v>30 Days</v>
      </c>
      <c r="Q131" s="7">
        <v>42855</v>
      </c>
      <c r="R131" s="6" t="str">
        <f>VLOOKUP(A131:A2750,[1]BOM_INV_OPERATOR_DETAILS_OUTPUT!$A$2:$D$1233,4,FALSE)</f>
        <v>AI</v>
      </c>
      <c r="Y131" s="1" t="str">
        <f>"4220331066"</f>
        <v>4220331066</v>
      </c>
    </row>
    <row r="132" spans="1:25" x14ac:dyDescent="0.2">
      <c r="A132" s="9" t="s">
        <v>1717</v>
      </c>
      <c r="B132" s="10">
        <v>42830</v>
      </c>
      <c r="C132" s="9" t="s">
        <v>983</v>
      </c>
      <c r="D132" s="9" t="s">
        <v>982</v>
      </c>
      <c r="E132" s="9" t="s">
        <v>2190</v>
      </c>
      <c r="F132" s="9">
        <v>0</v>
      </c>
      <c r="G132" s="8">
        <v>2346</v>
      </c>
      <c r="H132" s="4">
        <f t="shared" si="180"/>
        <v>2346</v>
      </c>
      <c r="I132" s="4">
        <f t="shared" si="181"/>
        <v>0</v>
      </c>
      <c r="J132" s="4">
        <f t="shared" si="182"/>
        <v>0</v>
      </c>
      <c r="K132" s="4">
        <f t="shared" si="183"/>
        <v>0</v>
      </c>
      <c r="L132" s="4">
        <f t="shared" si="184"/>
        <v>0</v>
      </c>
      <c r="M132" s="4">
        <f t="shared" si="185"/>
        <v>0</v>
      </c>
      <c r="N132" s="4">
        <f t="shared" si="186"/>
        <v>0</v>
      </c>
      <c r="O132" s="5">
        <f t="shared" si="187"/>
        <v>25</v>
      </c>
      <c r="P132" s="6" t="str">
        <f t="shared" si="188"/>
        <v>30 Days</v>
      </c>
      <c r="Q132" s="7">
        <v>42855</v>
      </c>
      <c r="R132" s="6" t="s">
        <v>2178</v>
      </c>
      <c r="Y132" s="1" t="str">
        <f>"417268500"</f>
        <v>417268500</v>
      </c>
    </row>
    <row r="133" spans="1:25" x14ac:dyDescent="0.2">
      <c r="A133" s="9" t="s">
        <v>312</v>
      </c>
      <c r="B133" s="10">
        <v>42747</v>
      </c>
      <c r="C133" s="9" t="s">
        <v>313</v>
      </c>
      <c r="D133" s="9" t="s">
        <v>53</v>
      </c>
      <c r="E133" s="9" t="s">
        <v>2190</v>
      </c>
      <c r="F133" s="9">
        <v>100000</v>
      </c>
      <c r="G133" s="8">
        <v>2415</v>
      </c>
      <c r="H133" s="4">
        <f t="shared" ref="H133:H137" si="189">IF(O133&lt;=30,G133,0)</f>
        <v>0</v>
      </c>
      <c r="I133" s="4">
        <f t="shared" ref="I133:I137" si="190">IF(AND(O133&gt;30,O133&lt;=45),G133,0)</f>
        <v>0</v>
      </c>
      <c r="J133" s="4">
        <f t="shared" ref="J133:J137" si="191">IF(AND(O133&gt;45,O133&lt;=60),G133,0)</f>
        <v>0</v>
      </c>
      <c r="K133" s="4">
        <f t="shared" ref="K133:K137" si="192">IF(AND(O133&gt;60,O133&lt;=90),G133,0)</f>
        <v>0</v>
      </c>
      <c r="L133" s="4">
        <f t="shared" ref="L133:L137" si="193">IF(AND(O133&gt;90,O133&lt;=120),G133,0)</f>
        <v>2415</v>
      </c>
      <c r="M133" s="4">
        <f t="shared" ref="M133:M137" si="194">IF(O133&gt;120,G133,0)</f>
        <v>0</v>
      </c>
      <c r="N133" s="4">
        <f t="shared" ref="N133:N137" si="195">IF(O133&gt;60,G133,0)</f>
        <v>2415</v>
      </c>
      <c r="O133" s="5">
        <f t="shared" ref="O133:O137" si="196">Q133-B133</f>
        <v>108</v>
      </c>
      <c r="P133" s="6" t="str">
        <f t="shared" ref="P133:P137" si="197">IF(AND(O133&lt;=30),"30 Days",IF(AND(O133&gt;30,O133&lt;=45),"31 TO 45 Days",IF(AND(O133&gt;45,O133&lt;=60),"46 To 60 Days",IF(AND(O133&gt;60,O133&lt;=90),"61 To 90 Days",IF(AND(O133&gt;90,O133&lt;=120),"91 To 120 Days",IF(AND(O133&gt;120),"Plus120Days",))))))</f>
        <v>91 To 120 Days</v>
      </c>
      <c r="Q133" s="7">
        <v>42855</v>
      </c>
      <c r="R133" s="6" t="s">
        <v>2178</v>
      </c>
      <c r="Y133" s="1" t="s">
        <v>314</v>
      </c>
    </row>
    <row r="134" spans="1:25" x14ac:dyDescent="0.2">
      <c r="A134" s="9" t="s">
        <v>675</v>
      </c>
      <c r="B134" s="10">
        <v>42812</v>
      </c>
      <c r="C134" s="9" t="s">
        <v>675</v>
      </c>
      <c r="D134" s="9" t="s">
        <v>158</v>
      </c>
      <c r="E134" s="9" t="s">
        <v>2190</v>
      </c>
      <c r="F134" s="9">
        <v>0</v>
      </c>
      <c r="G134" s="8">
        <v>2490</v>
      </c>
      <c r="H134" s="4">
        <f t="shared" si="189"/>
        <v>0</v>
      </c>
      <c r="I134" s="4">
        <f t="shared" si="190"/>
        <v>2490</v>
      </c>
      <c r="J134" s="4">
        <f t="shared" si="191"/>
        <v>0</v>
      </c>
      <c r="K134" s="4">
        <f t="shared" si="192"/>
        <v>0</v>
      </c>
      <c r="L134" s="4">
        <f t="shared" si="193"/>
        <v>0</v>
      </c>
      <c r="M134" s="4">
        <f t="shared" si="194"/>
        <v>0</v>
      </c>
      <c r="N134" s="4">
        <f t="shared" si="195"/>
        <v>0</v>
      </c>
      <c r="O134" s="5">
        <f t="shared" si="196"/>
        <v>43</v>
      </c>
      <c r="P134" s="6" t="str">
        <f t="shared" si="197"/>
        <v>31 TO 45 Days</v>
      </c>
      <c r="Q134" s="7">
        <v>42855</v>
      </c>
      <c r="R134" s="6" t="s">
        <v>2178</v>
      </c>
    </row>
    <row r="135" spans="1:25" x14ac:dyDescent="0.2">
      <c r="A135" s="9" t="s">
        <v>99</v>
      </c>
      <c r="B135" s="10">
        <v>42502</v>
      </c>
      <c r="C135" s="9" t="s">
        <v>100</v>
      </c>
      <c r="D135" s="9" t="s">
        <v>21</v>
      </c>
      <c r="E135" s="9" t="s">
        <v>2190</v>
      </c>
      <c r="F135" s="9">
        <v>0</v>
      </c>
      <c r="G135" s="8">
        <v>2494</v>
      </c>
      <c r="H135" s="4">
        <f t="shared" si="189"/>
        <v>0</v>
      </c>
      <c r="I135" s="4">
        <f t="shared" si="190"/>
        <v>0</v>
      </c>
      <c r="J135" s="4">
        <f t="shared" si="191"/>
        <v>0</v>
      </c>
      <c r="K135" s="4">
        <f t="shared" si="192"/>
        <v>0</v>
      </c>
      <c r="L135" s="4">
        <f t="shared" si="193"/>
        <v>0</v>
      </c>
      <c r="M135" s="4">
        <f t="shared" si="194"/>
        <v>2494</v>
      </c>
      <c r="N135" s="4">
        <f t="shared" si="195"/>
        <v>2494</v>
      </c>
      <c r="O135" s="5">
        <f t="shared" si="196"/>
        <v>353</v>
      </c>
      <c r="P135" s="6" t="str">
        <f t="shared" si="197"/>
        <v>Plus120Days</v>
      </c>
      <c r="Q135" s="7">
        <v>42855</v>
      </c>
      <c r="R135" s="6" t="s">
        <v>2178</v>
      </c>
      <c r="Y135" s="1" t="str">
        <f>"4711166445"</f>
        <v>4711166445</v>
      </c>
    </row>
    <row r="136" spans="1:25" x14ac:dyDescent="0.2">
      <c r="A136" s="9" t="s">
        <v>1979</v>
      </c>
      <c r="B136" s="10">
        <v>42836</v>
      </c>
      <c r="C136" s="9" t="s">
        <v>1980</v>
      </c>
      <c r="D136" s="9" t="s">
        <v>1978</v>
      </c>
      <c r="E136" s="9" t="s">
        <v>2190</v>
      </c>
      <c r="F136" s="9" t="e">
        <v>#N/A</v>
      </c>
      <c r="G136" s="8">
        <v>2498</v>
      </c>
      <c r="H136" s="4">
        <f t="shared" si="189"/>
        <v>2498</v>
      </c>
      <c r="I136" s="4">
        <f t="shared" si="190"/>
        <v>0</v>
      </c>
      <c r="J136" s="4">
        <f t="shared" si="191"/>
        <v>0</v>
      </c>
      <c r="K136" s="4">
        <f t="shared" si="192"/>
        <v>0</v>
      </c>
      <c r="L136" s="4">
        <f t="shared" si="193"/>
        <v>0</v>
      </c>
      <c r="M136" s="4">
        <f t="shared" si="194"/>
        <v>0</v>
      </c>
      <c r="N136" s="4">
        <f t="shared" si="195"/>
        <v>0</v>
      </c>
      <c r="O136" s="5">
        <f t="shared" si="196"/>
        <v>19</v>
      </c>
      <c r="P136" s="6" t="str">
        <f t="shared" si="197"/>
        <v>30 Days</v>
      </c>
      <c r="Q136" s="7">
        <v>42855</v>
      </c>
      <c r="R136" s="6" t="str">
        <f>VLOOKUP(A136:A2819,[1]BOM_INV_OPERATOR_DETAILS_OUTPUT!$A$2:$D$1233,4,FALSE)</f>
        <v>AI</v>
      </c>
      <c r="Y136" s="1" t="str">
        <f>"4520085461"</f>
        <v>4520085461</v>
      </c>
    </row>
    <row r="137" spans="1:25" x14ac:dyDescent="0.2">
      <c r="A137" s="9" t="s">
        <v>2011</v>
      </c>
      <c r="B137" s="10">
        <v>42836</v>
      </c>
      <c r="C137" s="9" t="s">
        <v>2012</v>
      </c>
      <c r="D137" s="9" t="s">
        <v>240</v>
      </c>
      <c r="E137" s="9" t="s">
        <v>2190</v>
      </c>
      <c r="F137" s="9">
        <v>0</v>
      </c>
      <c r="G137" s="8">
        <v>2521</v>
      </c>
      <c r="H137" s="4">
        <f t="shared" si="189"/>
        <v>2521</v>
      </c>
      <c r="I137" s="4">
        <f t="shared" si="190"/>
        <v>0</v>
      </c>
      <c r="J137" s="4">
        <f t="shared" si="191"/>
        <v>0</v>
      </c>
      <c r="K137" s="4">
        <f t="shared" si="192"/>
        <v>0</v>
      </c>
      <c r="L137" s="4">
        <f t="shared" si="193"/>
        <v>0</v>
      </c>
      <c r="M137" s="4">
        <f t="shared" si="194"/>
        <v>0</v>
      </c>
      <c r="N137" s="4">
        <f t="shared" si="195"/>
        <v>0</v>
      </c>
      <c r="O137" s="5">
        <f t="shared" si="196"/>
        <v>19</v>
      </c>
      <c r="P137" s="6" t="str">
        <f t="shared" si="197"/>
        <v>30 Days</v>
      </c>
      <c r="Q137" s="7">
        <v>42855</v>
      </c>
      <c r="R137" s="6" t="str">
        <f>VLOOKUP(A137:A2825,[1]BOM_INV_OPERATOR_DETAILS_OUTPUT!$A$2:$D$1233,4,FALSE)</f>
        <v>AI</v>
      </c>
      <c r="Y137" s="1" t="str">
        <f>"4030310025"</f>
        <v>4030310025</v>
      </c>
    </row>
    <row r="138" spans="1:25" x14ac:dyDescent="0.2">
      <c r="A138" s="9" t="s">
        <v>2119</v>
      </c>
      <c r="B138" s="10">
        <v>42840</v>
      </c>
      <c r="C138" s="9" t="s">
        <v>2120</v>
      </c>
      <c r="D138" s="9" t="s">
        <v>179</v>
      </c>
      <c r="E138" s="9" t="s">
        <v>2190</v>
      </c>
      <c r="F138" s="9">
        <v>0</v>
      </c>
      <c r="G138" s="8">
        <v>2551</v>
      </c>
      <c r="H138" s="4">
        <f t="shared" ref="H138:H145" si="198">IF(O138&lt;=30,G138,0)</f>
        <v>2551</v>
      </c>
      <c r="I138" s="4">
        <f t="shared" ref="I138:I145" si="199">IF(AND(O138&gt;30,O138&lt;=45),G138,0)</f>
        <v>0</v>
      </c>
      <c r="J138" s="4">
        <f t="shared" ref="J138:J145" si="200">IF(AND(O138&gt;45,O138&lt;=60),G138,0)</f>
        <v>0</v>
      </c>
      <c r="K138" s="4">
        <f t="shared" ref="K138:K145" si="201">IF(AND(O138&gt;60,O138&lt;=90),G138,0)</f>
        <v>0</v>
      </c>
      <c r="L138" s="4">
        <f t="shared" ref="L138:L145" si="202">IF(AND(O138&gt;90,O138&lt;=120),G138,0)</f>
        <v>0</v>
      </c>
      <c r="M138" s="4">
        <f t="shared" ref="M138:M145" si="203">IF(O138&gt;120,G138,0)</f>
        <v>0</v>
      </c>
      <c r="N138" s="4">
        <f t="shared" ref="N138:N145" si="204">IF(O138&gt;60,G138,0)</f>
        <v>0</v>
      </c>
      <c r="O138" s="5">
        <f t="shared" ref="O138:O145" si="205">Q138-B138</f>
        <v>15</v>
      </c>
      <c r="P138" s="6" t="str">
        <f t="shared" ref="P138:P145" si="206">IF(AND(O138&lt;=30),"30 Days",IF(AND(O138&gt;30,O138&lt;=45),"31 TO 45 Days",IF(AND(O138&gt;45,O138&lt;=60),"46 To 60 Days",IF(AND(O138&gt;60,O138&lt;=90),"61 To 90 Days",IF(AND(O138&gt;90,O138&lt;=120),"91 To 120 Days",IF(AND(O138&gt;120),"Plus120Days",))))))</f>
        <v>30 Days</v>
      </c>
      <c r="Q138" s="7">
        <v>42855</v>
      </c>
      <c r="R138" s="6" t="str">
        <f>VLOOKUP(A138:A2837,[1]BOM_INV_OPERATOR_DETAILS_OUTPUT!$A$2:$D$1233,4,FALSE)</f>
        <v>AI</v>
      </c>
      <c r="Y138" s="1" t="str">
        <f>"4220331090"</f>
        <v>4220331090</v>
      </c>
    </row>
    <row r="139" spans="1:25" x14ac:dyDescent="0.2">
      <c r="A139" s="9" t="s">
        <v>1059</v>
      </c>
      <c r="B139" s="10">
        <v>42811</v>
      </c>
      <c r="C139" s="9" t="s">
        <v>1060</v>
      </c>
      <c r="D139" s="9" t="s">
        <v>232</v>
      </c>
      <c r="E139" s="9" t="s">
        <v>2190</v>
      </c>
      <c r="F139" s="9">
        <v>1500000</v>
      </c>
      <c r="G139" s="8">
        <v>2576</v>
      </c>
      <c r="H139" s="4">
        <f t="shared" si="198"/>
        <v>0</v>
      </c>
      <c r="I139" s="4">
        <f t="shared" si="199"/>
        <v>2576</v>
      </c>
      <c r="J139" s="4">
        <f t="shared" si="200"/>
        <v>0</v>
      </c>
      <c r="K139" s="4">
        <f t="shared" si="201"/>
        <v>0</v>
      </c>
      <c r="L139" s="4">
        <f t="shared" si="202"/>
        <v>0</v>
      </c>
      <c r="M139" s="4">
        <f t="shared" si="203"/>
        <v>0</v>
      </c>
      <c r="N139" s="4">
        <f t="shared" si="204"/>
        <v>0</v>
      </c>
      <c r="O139" s="5">
        <f t="shared" si="205"/>
        <v>44</v>
      </c>
      <c r="P139" s="6" t="str">
        <f t="shared" si="206"/>
        <v>31 TO 45 Days</v>
      </c>
      <c r="Q139" s="7">
        <v>42855</v>
      </c>
      <c r="R139" s="6" t="s">
        <v>2178</v>
      </c>
      <c r="Y139" s="1" t="str">
        <f>"4052207528"</f>
        <v>4052207528</v>
      </c>
    </row>
    <row r="140" spans="1:25" x14ac:dyDescent="0.2">
      <c r="A140" s="9" t="s">
        <v>2037</v>
      </c>
      <c r="B140" s="10">
        <v>42837</v>
      </c>
      <c r="C140" s="9" t="s">
        <v>2038</v>
      </c>
      <c r="D140" s="9" t="s">
        <v>2031</v>
      </c>
      <c r="E140" s="9" t="s">
        <v>2190</v>
      </c>
      <c r="F140" s="9">
        <v>600000</v>
      </c>
      <c r="G140" s="8">
        <v>2576</v>
      </c>
      <c r="H140" s="4">
        <f t="shared" si="198"/>
        <v>2576</v>
      </c>
      <c r="I140" s="4">
        <f t="shared" si="199"/>
        <v>0</v>
      </c>
      <c r="J140" s="4">
        <f t="shared" si="200"/>
        <v>0</v>
      </c>
      <c r="K140" s="4">
        <f t="shared" si="201"/>
        <v>0</v>
      </c>
      <c r="L140" s="4">
        <f t="shared" si="202"/>
        <v>0</v>
      </c>
      <c r="M140" s="4">
        <f t="shared" si="203"/>
        <v>0</v>
      </c>
      <c r="N140" s="4">
        <f t="shared" si="204"/>
        <v>0</v>
      </c>
      <c r="O140" s="5">
        <f t="shared" si="205"/>
        <v>18</v>
      </c>
      <c r="P140" s="6" t="str">
        <f t="shared" si="206"/>
        <v>30 Days</v>
      </c>
      <c r="Q140" s="7">
        <v>42855</v>
      </c>
      <c r="R140" s="6" t="str">
        <f>VLOOKUP(A140:A2848,[1]BOM_INV_OPERATOR_DETAILS_OUTPUT!$A$2:$D$1233,4,FALSE)</f>
        <v>AI</v>
      </c>
      <c r="Y140" s="1" t="str">
        <f>"4170206029"</f>
        <v>4170206029</v>
      </c>
    </row>
    <row r="141" spans="1:25" x14ac:dyDescent="0.2">
      <c r="A141" s="9" t="s">
        <v>2122</v>
      </c>
      <c r="B141" s="10">
        <v>42840</v>
      </c>
      <c r="C141" s="9" t="s">
        <v>2123</v>
      </c>
      <c r="D141" s="9" t="s">
        <v>2121</v>
      </c>
      <c r="E141" s="9" t="s">
        <v>2190</v>
      </c>
      <c r="F141" s="9">
        <v>0</v>
      </c>
      <c r="G141" s="8">
        <v>2576</v>
      </c>
      <c r="H141" s="4">
        <f t="shared" si="198"/>
        <v>2576</v>
      </c>
      <c r="I141" s="4">
        <f t="shared" si="199"/>
        <v>0</v>
      </c>
      <c r="J141" s="4">
        <f t="shared" si="200"/>
        <v>0</v>
      </c>
      <c r="K141" s="4">
        <f t="shared" si="201"/>
        <v>0</v>
      </c>
      <c r="L141" s="4">
        <f t="shared" si="202"/>
        <v>0</v>
      </c>
      <c r="M141" s="4">
        <f t="shared" si="203"/>
        <v>0</v>
      </c>
      <c r="N141" s="4">
        <f t="shared" si="204"/>
        <v>0</v>
      </c>
      <c r="O141" s="5">
        <f t="shared" si="205"/>
        <v>15</v>
      </c>
      <c r="P141" s="6" t="str">
        <f t="shared" si="206"/>
        <v>30 Days</v>
      </c>
      <c r="Q141" s="7">
        <v>42855</v>
      </c>
      <c r="R141" s="6" t="str">
        <f>VLOOKUP(A141:A2849,[1]BOM_INV_OPERATOR_DETAILS_OUTPUT!$A$2:$D$1233,4,FALSE)</f>
        <v>AI</v>
      </c>
      <c r="Y141" s="1" t="str">
        <f>"4921041550"</f>
        <v>4921041550</v>
      </c>
    </row>
    <row r="142" spans="1:25" x14ac:dyDescent="0.2">
      <c r="A142" s="9" t="s">
        <v>2079</v>
      </c>
      <c r="B142" s="10">
        <v>42838</v>
      </c>
      <c r="C142" s="9" t="s">
        <v>2080</v>
      </c>
      <c r="D142" s="9" t="s">
        <v>2078</v>
      </c>
      <c r="E142" s="9" t="s">
        <v>2190</v>
      </c>
      <c r="F142" s="9">
        <v>175000</v>
      </c>
      <c r="G142" s="8">
        <v>2600</v>
      </c>
      <c r="H142" s="4">
        <f t="shared" si="198"/>
        <v>2600</v>
      </c>
      <c r="I142" s="4">
        <f t="shared" si="199"/>
        <v>0</v>
      </c>
      <c r="J142" s="4">
        <f t="shared" si="200"/>
        <v>0</v>
      </c>
      <c r="K142" s="4">
        <f t="shared" si="201"/>
        <v>0</v>
      </c>
      <c r="L142" s="4">
        <f t="shared" si="202"/>
        <v>0</v>
      </c>
      <c r="M142" s="4">
        <f t="shared" si="203"/>
        <v>0</v>
      </c>
      <c r="N142" s="4">
        <f t="shared" si="204"/>
        <v>0</v>
      </c>
      <c r="O142" s="5">
        <f t="shared" si="205"/>
        <v>17</v>
      </c>
      <c r="P142" s="6" t="str">
        <f t="shared" si="206"/>
        <v>30 Days</v>
      </c>
      <c r="Q142" s="7">
        <v>42855</v>
      </c>
      <c r="R142" s="6" t="str">
        <f>VLOOKUP(A142:A2858,[1]BOM_INV_OPERATOR_DETAILS_OUTPUT!$A$2:$D$1233,4,FALSE)</f>
        <v>AI</v>
      </c>
      <c r="Y142" s="1" t="str">
        <f>"4831173073"</f>
        <v>4831173073</v>
      </c>
    </row>
    <row r="143" spans="1:25" x14ac:dyDescent="0.2">
      <c r="A143" s="9" t="s">
        <v>2127</v>
      </c>
      <c r="B143" s="10">
        <v>42840</v>
      </c>
      <c r="C143" s="9" t="s">
        <v>2128</v>
      </c>
      <c r="D143" s="9" t="s">
        <v>415</v>
      </c>
      <c r="E143" s="9" t="s">
        <v>2190</v>
      </c>
      <c r="F143" s="9">
        <v>0</v>
      </c>
      <c r="G143" s="8">
        <v>2625</v>
      </c>
      <c r="H143" s="4">
        <f t="shared" si="198"/>
        <v>2625</v>
      </c>
      <c r="I143" s="4">
        <f t="shared" si="199"/>
        <v>0</v>
      </c>
      <c r="J143" s="4">
        <f t="shared" si="200"/>
        <v>0</v>
      </c>
      <c r="K143" s="4">
        <f t="shared" si="201"/>
        <v>0</v>
      </c>
      <c r="L143" s="4">
        <f t="shared" si="202"/>
        <v>0</v>
      </c>
      <c r="M143" s="4">
        <f t="shared" si="203"/>
        <v>0</v>
      </c>
      <c r="N143" s="4">
        <f t="shared" si="204"/>
        <v>0</v>
      </c>
      <c r="O143" s="5">
        <f t="shared" si="205"/>
        <v>15</v>
      </c>
      <c r="P143" s="6" t="str">
        <f t="shared" si="206"/>
        <v>30 Days</v>
      </c>
      <c r="Q143" s="7">
        <v>42855</v>
      </c>
      <c r="R143" s="6" t="str">
        <f>VLOOKUP(A143:A2867,[1]BOM_INV_OPERATOR_DETAILS_OUTPUT!$A$2:$D$1233,4,FALSE)</f>
        <v>AI</v>
      </c>
      <c r="Y143" s="1" t="str">
        <f>"4170206436"</f>
        <v>4170206436</v>
      </c>
    </row>
    <row r="144" spans="1:25" x14ac:dyDescent="0.2">
      <c r="A144" s="9" t="s">
        <v>2032</v>
      </c>
      <c r="B144" s="10">
        <v>42837</v>
      </c>
      <c r="C144" s="9" t="s">
        <v>2033</v>
      </c>
      <c r="D144" s="9" t="s">
        <v>2031</v>
      </c>
      <c r="E144" s="9" t="s">
        <v>2190</v>
      </c>
      <c r="F144" s="9">
        <v>600000</v>
      </c>
      <c r="G144" s="8">
        <v>2643</v>
      </c>
      <c r="H144" s="4">
        <f t="shared" si="198"/>
        <v>2643</v>
      </c>
      <c r="I144" s="4">
        <f t="shared" si="199"/>
        <v>0</v>
      </c>
      <c r="J144" s="4">
        <f t="shared" si="200"/>
        <v>0</v>
      </c>
      <c r="K144" s="4">
        <f t="shared" si="201"/>
        <v>0</v>
      </c>
      <c r="L144" s="4">
        <f t="shared" si="202"/>
        <v>0</v>
      </c>
      <c r="M144" s="4">
        <f t="shared" si="203"/>
        <v>0</v>
      </c>
      <c r="N144" s="4">
        <f t="shared" si="204"/>
        <v>0</v>
      </c>
      <c r="O144" s="5">
        <f t="shared" si="205"/>
        <v>18</v>
      </c>
      <c r="P144" s="6" t="str">
        <f t="shared" si="206"/>
        <v>30 Days</v>
      </c>
      <c r="Q144" s="7">
        <v>42855</v>
      </c>
      <c r="R144" s="6" t="str">
        <f>VLOOKUP(A144:A2874,[1]BOM_INV_OPERATOR_DETAILS_OUTPUT!$A$2:$D$1233,4,FALSE)</f>
        <v>AI</v>
      </c>
      <c r="Y144" s="1" t="str">
        <f>"4170206028"</f>
        <v>4170206028</v>
      </c>
    </row>
    <row r="145" spans="1:25" x14ac:dyDescent="0.2">
      <c r="A145" s="9" t="s">
        <v>2156</v>
      </c>
      <c r="B145" s="10">
        <v>42840</v>
      </c>
      <c r="C145" s="9" t="s">
        <v>2157</v>
      </c>
      <c r="D145" s="9" t="s">
        <v>2155</v>
      </c>
      <c r="E145" s="9" t="s">
        <v>2190</v>
      </c>
      <c r="F145" s="9">
        <v>0</v>
      </c>
      <c r="G145" s="8">
        <v>2668</v>
      </c>
      <c r="H145" s="4">
        <f t="shared" si="198"/>
        <v>2668</v>
      </c>
      <c r="I145" s="4">
        <f t="shared" si="199"/>
        <v>0</v>
      </c>
      <c r="J145" s="4">
        <f t="shared" si="200"/>
        <v>0</v>
      </c>
      <c r="K145" s="4">
        <f t="shared" si="201"/>
        <v>0</v>
      </c>
      <c r="L145" s="4">
        <f t="shared" si="202"/>
        <v>0</v>
      </c>
      <c r="M145" s="4">
        <f t="shared" si="203"/>
        <v>0</v>
      </c>
      <c r="N145" s="4">
        <f t="shared" si="204"/>
        <v>0</v>
      </c>
      <c r="O145" s="5">
        <f t="shared" si="205"/>
        <v>15</v>
      </c>
      <c r="P145" s="6" t="str">
        <f t="shared" si="206"/>
        <v>30 Days</v>
      </c>
      <c r="Q145" s="7">
        <v>42855</v>
      </c>
      <c r="R145" s="6" t="str">
        <f>VLOOKUP(A145:A2889,[1]BOM_INV_OPERATOR_DETAILS_OUTPUT!$A$2:$D$1233,4,FALSE)</f>
        <v>AI</v>
      </c>
      <c r="Y145" s="1" t="str">
        <f>"4912921265"</f>
        <v>4912921265</v>
      </c>
    </row>
    <row r="146" spans="1:25" x14ac:dyDescent="0.2">
      <c r="A146" s="9" t="s">
        <v>1747</v>
      </c>
      <c r="B146" s="10">
        <v>42831</v>
      </c>
      <c r="C146" s="9" t="s">
        <v>1748</v>
      </c>
      <c r="D146" s="9" t="s">
        <v>1746</v>
      </c>
      <c r="E146" s="9" t="s">
        <v>2190</v>
      </c>
      <c r="F146" s="9">
        <v>0</v>
      </c>
      <c r="G146" s="8">
        <v>2691</v>
      </c>
      <c r="H146" s="4">
        <f t="shared" ref="H146:H151" si="207">IF(O146&lt;=30,G146,0)</f>
        <v>2691</v>
      </c>
      <c r="I146" s="4">
        <f t="shared" ref="I146:I151" si="208">IF(AND(O146&gt;30,O146&lt;=45),G146,0)</f>
        <v>0</v>
      </c>
      <c r="J146" s="4">
        <f t="shared" ref="J146:J151" si="209">IF(AND(O146&gt;45,O146&lt;=60),G146,0)</f>
        <v>0</v>
      </c>
      <c r="K146" s="4">
        <f t="shared" ref="K146:K151" si="210">IF(AND(O146&gt;60,O146&lt;=90),G146,0)</f>
        <v>0</v>
      </c>
      <c r="L146" s="4">
        <f t="shared" ref="L146:L151" si="211">IF(AND(O146&gt;90,O146&lt;=120),G146,0)</f>
        <v>0</v>
      </c>
      <c r="M146" s="4">
        <f t="shared" ref="M146:M151" si="212">IF(O146&gt;120,G146,0)</f>
        <v>0</v>
      </c>
      <c r="N146" s="4">
        <f t="shared" ref="N146:N151" si="213">IF(O146&gt;60,G146,0)</f>
        <v>0</v>
      </c>
      <c r="O146" s="5">
        <f t="shared" ref="O146:O151" si="214">Q146-B146</f>
        <v>24</v>
      </c>
      <c r="P146" s="6" t="str">
        <f t="shared" ref="P146:P151" si="215">IF(AND(O146&lt;=30),"30 Days",IF(AND(O146&gt;30,O146&lt;=45),"31 TO 45 Days",IF(AND(O146&gt;45,O146&lt;=60),"46 To 60 Days",IF(AND(O146&gt;60,O146&lt;=90),"61 To 90 Days",IF(AND(O146&gt;90,O146&lt;=120),"91 To 120 Days",IF(AND(O146&gt;120),"Plus120Days",))))))</f>
        <v>30 Days</v>
      </c>
      <c r="Q146" s="7">
        <v>42855</v>
      </c>
      <c r="R146" s="6" t="s">
        <v>2178</v>
      </c>
      <c r="Y146" s="1" t="str">
        <f>"4080253527"</f>
        <v>4080253527</v>
      </c>
    </row>
    <row r="147" spans="1:25" x14ac:dyDescent="0.2">
      <c r="A147" s="9" t="s">
        <v>2023</v>
      </c>
      <c r="B147" s="10">
        <v>42837</v>
      </c>
      <c r="C147" s="9" t="s">
        <v>2024</v>
      </c>
      <c r="D147" s="9" t="s">
        <v>478</v>
      </c>
      <c r="E147" s="9" t="s">
        <v>2190</v>
      </c>
      <c r="F147" s="9">
        <v>0</v>
      </c>
      <c r="G147" s="8">
        <v>2691</v>
      </c>
      <c r="H147" s="4">
        <f t="shared" si="207"/>
        <v>2691</v>
      </c>
      <c r="I147" s="4">
        <f t="shared" si="208"/>
        <v>0</v>
      </c>
      <c r="J147" s="4">
        <f t="shared" si="209"/>
        <v>0</v>
      </c>
      <c r="K147" s="4">
        <f t="shared" si="210"/>
        <v>0</v>
      </c>
      <c r="L147" s="4">
        <f t="shared" si="211"/>
        <v>0</v>
      </c>
      <c r="M147" s="4">
        <f t="shared" si="212"/>
        <v>0</v>
      </c>
      <c r="N147" s="4">
        <f t="shared" si="213"/>
        <v>0</v>
      </c>
      <c r="O147" s="5">
        <f t="shared" si="214"/>
        <v>18</v>
      </c>
      <c r="P147" s="6" t="str">
        <f t="shared" si="215"/>
        <v>30 Days</v>
      </c>
      <c r="Q147" s="7">
        <v>42855</v>
      </c>
      <c r="R147" s="6" t="str">
        <f>VLOOKUP(A147:A2901,[1]BOM_INV_OPERATOR_DETAILS_OUTPUT!$A$2:$D$1233,4,FALSE)</f>
        <v>AI</v>
      </c>
      <c r="Y147" s="1" t="str">
        <f>"4912921169"</f>
        <v>4912921169</v>
      </c>
    </row>
    <row r="148" spans="1:25" x14ac:dyDescent="0.2">
      <c r="A148" s="9" t="s">
        <v>470</v>
      </c>
      <c r="B148" s="10">
        <v>42769</v>
      </c>
      <c r="C148" s="9" t="s">
        <v>471</v>
      </c>
      <c r="D148" s="9" t="s">
        <v>469</v>
      </c>
      <c r="E148" s="9" t="s">
        <v>2190</v>
      </c>
      <c r="F148" s="9">
        <v>0</v>
      </c>
      <c r="G148" s="8">
        <v>2855</v>
      </c>
      <c r="H148" s="4">
        <f t="shared" si="207"/>
        <v>0</v>
      </c>
      <c r="I148" s="4">
        <f t="shared" si="208"/>
        <v>0</v>
      </c>
      <c r="J148" s="4">
        <f t="shared" si="209"/>
        <v>0</v>
      </c>
      <c r="K148" s="4">
        <f t="shared" si="210"/>
        <v>2855</v>
      </c>
      <c r="L148" s="4">
        <f t="shared" si="211"/>
        <v>0</v>
      </c>
      <c r="M148" s="4">
        <f t="shared" si="212"/>
        <v>0</v>
      </c>
      <c r="N148" s="4">
        <f t="shared" si="213"/>
        <v>2855</v>
      </c>
      <c r="O148" s="5">
        <f t="shared" si="214"/>
        <v>86</v>
      </c>
      <c r="P148" s="6" t="str">
        <f t="shared" si="215"/>
        <v>61 To 90 Days</v>
      </c>
      <c r="Q148" s="7">
        <v>42855</v>
      </c>
      <c r="R148" s="6" t="s">
        <v>2178</v>
      </c>
      <c r="Y148" s="1" t="str">
        <f>"4300209755"</f>
        <v>4300209755</v>
      </c>
    </row>
    <row r="149" spans="1:25" x14ac:dyDescent="0.2">
      <c r="A149" s="9" t="s">
        <v>808</v>
      </c>
      <c r="B149" s="10">
        <v>42794</v>
      </c>
      <c r="C149" s="9" t="s">
        <v>807</v>
      </c>
      <c r="D149" s="9" t="s">
        <v>806</v>
      </c>
      <c r="E149" s="9" t="s">
        <v>2190</v>
      </c>
      <c r="F149" s="9">
        <v>700000</v>
      </c>
      <c r="G149" s="8">
        <v>2875</v>
      </c>
      <c r="H149" s="4">
        <f t="shared" si="207"/>
        <v>0</v>
      </c>
      <c r="I149" s="4">
        <f t="shared" si="208"/>
        <v>0</v>
      </c>
      <c r="J149" s="4">
        <f t="shared" si="209"/>
        <v>0</v>
      </c>
      <c r="K149" s="4">
        <f t="shared" si="210"/>
        <v>2875</v>
      </c>
      <c r="L149" s="4">
        <f t="shared" si="211"/>
        <v>0</v>
      </c>
      <c r="M149" s="4">
        <f t="shared" si="212"/>
        <v>0</v>
      </c>
      <c r="N149" s="4">
        <f t="shared" si="213"/>
        <v>2875</v>
      </c>
      <c r="O149" s="5">
        <f t="shared" si="214"/>
        <v>61</v>
      </c>
      <c r="P149" s="6" t="str">
        <f t="shared" si="215"/>
        <v>61 To 90 Days</v>
      </c>
      <c r="Q149" s="7">
        <v>42855</v>
      </c>
      <c r="R149" s="6" t="s">
        <v>2178</v>
      </c>
      <c r="Y149" s="1" t="str">
        <f>"4540130196"</f>
        <v>4540130196</v>
      </c>
    </row>
    <row r="150" spans="1:25" x14ac:dyDescent="0.2">
      <c r="A150" s="9" t="s">
        <v>1753</v>
      </c>
      <c r="B150" s="10">
        <v>42831</v>
      </c>
      <c r="C150" s="9" t="s">
        <v>1752</v>
      </c>
      <c r="D150" s="9" t="s">
        <v>806</v>
      </c>
      <c r="E150" s="9" t="s">
        <v>2190</v>
      </c>
      <c r="F150" s="9">
        <v>700000</v>
      </c>
      <c r="G150" s="8">
        <v>2875</v>
      </c>
      <c r="H150" s="4">
        <f t="shared" si="207"/>
        <v>2875</v>
      </c>
      <c r="I150" s="4">
        <f t="shared" si="208"/>
        <v>0</v>
      </c>
      <c r="J150" s="4">
        <f t="shared" si="209"/>
        <v>0</v>
      </c>
      <c r="K150" s="4">
        <f t="shared" si="210"/>
        <v>0</v>
      </c>
      <c r="L150" s="4">
        <f t="shared" si="211"/>
        <v>0</v>
      </c>
      <c r="M150" s="4">
        <f t="shared" si="212"/>
        <v>0</v>
      </c>
      <c r="N150" s="4">
        <f t="shared" si="213"/>
        <v>0</v>
      </c>
      <c r="O150" s="5">
        <f t="shared" si="214"/>
        <v>24</v>
      </c>
      <c r="P150" s="6" t="str">
        <f t="shared" si="215"/>
        <v>30 Days</v>
      </c>
      <c r="Q150" s="7">
        <v>42855</v>
      </c>
      <c r="R150" s="6" t="s">
        <v>2178</v>
      </c>
      <c r="Y150" s="1" t="str">
        <f>"4540131594"</f>
        <v>4540131594</v>
      </c>
    </row>
    <row r="151" spans="1:25" x14ac:dyDescent="0.2">
      <c r="A151" s="9" t="s">
        <v>1822</v>
      </c>
      <c r="B151" s="10">
        <v>42835</v>
      </c>
      <c r="C151" s="9" t="s">
        <v>1823</v>
      </c>
      <c r="D151" s="9" t="s">
        <v>806</v>
      </c>
      <c r="E151" s="9" t="s">
        <v>2190</v>
      </c>
      <c r="F151" s="9">
        <v>700000</v>
      </c>
      <c r="G151" s="8">
        <v>2875</v>
      </c>
      <c r="H151" s="4">
        <f t="shared" si="207"/>
        <v>2875</v>
      </c>
      <c r="I151" s="4">
        <f t="shared" si="208"/>
        <v>0</v>
      </c>
      <c r="J151" s="4">
        <f t="shared" si="209"/>
        <v>0</v>
      </c>
      <c r="K151" s="4">
        <f t="shared" si="210"/>
        <v>0</v>
      </c>
      <c r="L151" s="4">
        <f t="shared" si="211"/>
        <v>0</v>
      </c>
      <c r="M151" s="4">
        <f t="shared" si="212"/>
        <v>0</v>
      </c>
      <c r="N151" s="4">
        <f t="shared" si="213"/>
        <v>0</v>
      </c>
      <c r="O151" s="5">
        <f t="shared" si="214"/>
        <v>20</v>
      </c>
      <c r="P151" s="6" t="str">
        <f t="shared" si="215"/>
        <v>30 Days</v>
      </c>
      <c r="Q151" s="7">
        <v>42855</v>
      </c>
      <c r="R151" s="6" t="str">
        <f>VLOOKUP(A151:A2956,[1]BOM_INV_OPERATOR_DETAILS_OUTPUT!$A$2:$D$1233,4,FALSE)</f>
        <v>AI</v>
      </c>
      <c r="Y151" s="1" t="str">
        <f>"4170206157"</f>
        <v>4170206157</v>
      </c>
    </row>
    <row r="152" spans="1:25" x14ac:dyDescent="0.2">
      <c r="A152" s="9" t="s">
        <v>2016</v>
      </c>
      <c r="B152" s="10">
        <v>42837</v>
      </c>
      <c r="C152" s="9" t="s">
        <v>2017</v>
      </c>
      <c r="D152" s="9" t="s">
        <v>2015</v>
      </c>
      <c r="E152" s="9" t="s">
        <v>2190</v>
      </c>
      <c r="F152" s="9">
        <v>0</v>
      </c>
      <c r="G152" s="8">
        <v>2921</v>
      </c>
      <c r="H152" s="4">
        <f t="shared" ref="H152:H156" si="216">IF(O152&lt;=30,G152,0)</f>
        <v>2921</v>
      </c>
      <c r="I152" s="4">
        <f t="shared" ref="I152:I156" si="217">IF(AND(O152&gt;30,O152&lt;=45),G152,0)</f>
        <v>0</v>
      </c>
      <c r="J152" s="4">
        <f t="shared" ref="J152:J156" si="218">IF(AND(O152&gt;45,O152&lt;=60),G152,0)</f>
        <v>0</v>
      </c>
      <c r="K152" s="4">
        <f t="shared" ref="K152:K156" si="219">IF(AND(O152&gt;60,O152&lt;=90),G152,0)</f>
        <v>0</v>
      </c>
      <c r="L152" s="4">
        <f t="shared" ref="L152:L156" si="220">IF(AND(O152&gt;90,O152&lt;=120),G152,0)</f>
        <v>0</v>
      </c>
      <c r="M152" s="4">
        <f t="shared" ref="M152:M156" si="221">IF(O152&gt;120,G152,0)</f>
        <v>0</v>
      </c>
      <c r="N152" s="4">
        <f t="shared" ref="N152:N156" si="222">IF(O152&gt;60,G152,0)</f>
        <v>0</v>
      </c>
      <c r="O152" s="5">
        <f t="shared" ref="O152:O156" si="223">Q152-B152</f>
        <v>18</v>
      </c>
      <c r="P152" s="6" t="str">
        <f t="shared" ref="P152:P156" si="224">IF(AND(O152&lt;=30),"30 Days",IF(AND(O152&gt;30,O152&lt;=45),"31 TO 45 Days",IF(AND(O152&gt;45,O152&lt;=60),"46 To 60 Days",IF(AND(O152&gt;60,O152&lt;=90),"61 To 90 Days",IF(AND(O152&gt;90,O152&lt;=120),"91 To 120 Days",IF(AND(O152&gt;120),"Plus120Days",))))))</f>
        <v>30 Days</v>
      </c>
      <c r="Q152" s="7">
        <v>42855</v>
      </c>
      <c r="R152" s="6" t="str">
        <f>VLOOKUP(A152:A2988,[1]BOM_INV_OPERATOR_DETAILS_OUTPUT!$A$2:$D$1233,4,FALSE)</f>
        <v>AI</v>
      </c>
      <c r="Y152" s="1" t="str">
        <f>"4711239087"</f>
        <v>4711239087</v>
      </c>
    </row>
    <row r="153" spans="1:25" x14ac:dyDescent="0.2">
      <c r="A153" s="9" t="s">
        <v>1845</v>
      </c>
      <c r="B153" s="10">
        <v>42835</v>
      </c>
      <c r="C153" s="9" t="s">
        <v>1844</v>
      </c>
      <c r="D153" s="9" t="s">
        <v>806</v>
      </c>
      <c r="E153" s="9" t="s">
        <v>2190</v>
      </c>
      <c r="F153" s="9">
        <v>700000</v>
      </c>
      <c r="G153" s="8">
        <v>2936</v>
      </c>
      <c r="H153" s="4">
        <f t="shared" si="216"/>
        <v>2936</v>
      </c>
      <c r="I153" s="4">
        <f t="shared" si="217"/>
        <v>0</v>
      </c>
      <c r="J153" s="4">
        <f t="shared" si="218"/>
        <v>0</v>
      </c>
      <c r="K153" s="4">
        <f t="shared" si="219"/>
        <v>0</v>
      </c>
      <c r="L153" s="4">
        <f t="shared" si="220"/>
        <v>0</v>
      </c>
      <c r="M153" s="4">
        <f t="shared" si="221"/>
        <v>0</v>
      </c>
      <c r="N153" s="4">
        <f t="shared" si="222"/>
        <v>0</v>
      </c>
      <c r="O153" s="5">
        <f t="shared" si="223"/>
        <v>20</v>
      </c>
      <c r="P153" s="6" t="str">
        <f t="shared" si="224"/>
        <v>30 Days</v>
      </c>
      <c r="Q153" s="7">
        <v>42855</v>
      </c>
      <c r="R153" s="6" t="str">
        <f>VLOOKUP(A153:A2993,[1]BOM_INV_OPERATOR_DETAILS_OUTPUT!$A$2:$D$1233,4,FALSE)</f>
        <v>AI</v>
      </c>
      <c r="Y153" s="1" t="str">
        <f>"4750389573"</f>
        <v>4750389573</v>
      </c>
    </row>
    <row r="154" spans="1:25" x14ac:dyDescent="0.2">
      <c r="A154" s="9" t="s">
        <v>357</v>
      </c>
      <c r="B154" s="10">
        <v>42755</v>
      </c>
      <c r="C154" s="9" t="s">
        <v>358</v>
      </c>
      <c r="D154" s="9" t="s">
        <v>123</v>
      </c>
      <c r="E154" s="9" t="s">
        <v>2190</v>
      </c>
      <c r="F154" s="9">
        <v>2700000</v>
      </c>
      <c r="G154" s="8">
        <v>2950</v>
      </c>
      <c r="H154" s="4">
        <f t="shared" si="216"/>
        <v>0</v>
      </c>
      <c r="I154" s="4">
        <f t="shared" si="217"/>
        <v>0</v>
      </c>
      <c r="J154" s="4">
        <f t="shared" si="218"/>
        <v>0</v>
      </c>
      <c r="K154" s="4">
        <f t="shared" si="219"/>
        <v>0</v>
      </c>
      <c r="L154" s="4">
        <f t="shared" si="220"/>
        <v>2950</v>
      </c>
      <c r="M154" s="4">
        <f t="shared" si="221"/>
        <v>0</v>
      </c>
      <c r="N154" s="4">
        <f t="shared" si="222"/>
        <v>2950</v>
      </c>
      <c r="O154" s="5">
        <f t="shared" si="223"/>
        <v>100</v>
      </c>
      <c r="P154" s="6" t="str">
        <f t="shared" si="224"/>
        <v>91 To 120 Days</v>
      </c>
      <c r="Q154" s="7">
        <v>42855</v>
      </c>
      <c r="R154" s="6" t="s">
        <v>2178</v>
      </c>
      <c r="Y154" s="1" t="str">
        <f>"4320102903"</f>
        <v>4320102903</v>
      </c>
    </row>
    <row r="155" spans="1:25" x14ac:dyDescent="0.2">
      <c r="A155" s="9" t="s">
        <v>1792</v>
      </c>
      <c r="B155" s="10">
        <v>42832</v>
      </c>
      <c r="C155" s="9" t="s">
        <v>1793</v>
      </c>
      <c r="D155" s="9" t="s">
        <v>1791</v>
      </c>
      <c r="E155" s="9" t="s">
        <v>2190</v>
      </c>
      <c r="F155" s="9">
        <v>0</v>
      </c>
      <c r="G155" s="8">
        <v>3003</v>
      </c>
      <c r="H155" s="4">
        <f t="shared" si="216"/>
        <v>3003</v>
      </c>
      <c r="I155" s="4">
        <f t="shared" si="217"/>
        <v>0</v>
      </c>
      <c r="J155" s="4">
        <f t="shared" si="218"/>
        <v>0</v>
      </c>
      <c r="K155" s="4">
        <f t="shared" si="219"/>
        <v>0</v>
      </c>
      <c r="L155" s="4">
        <f t="shared" si="220"/>
        <v>0</v>
      </c>
      <c r="M155" s="4">
        <f t="shared" si="221"/>
        <v>0</v>
      </c>
      <c r="N155" s="4">
        <f t="shared" si="222"/>
        <v>0</v>
      </c>
      <c r="O155" s="5">
        <f t="shared" si="223"/>
        <v>23</v>
      </c>
      <c r="P155" s="6" t="str">
        <f t="shared" si="224"/>
        <v>30 Days</v>
      </c>
      <c r="Q155" s="7">
        <v>42855</v>
      </c>
      <c r="R155" s="6" t="s">
        <v>2178</v>
      </c>
      <c r="Y155" s="1" t="str">
        <f>"4400190504"</f>
        <v>4400190504</v>
      </c>
    </row>
    <row r="156" spans="1:25" x14ac:dyDescent="0.2">
      <c r="A156" s="9" t="s">
        <v>518</v>
      </c>
      <c r="B156" s="10">
        <v>42775</v>
      </c>
      <c r="C156" s="9" t="s">
        <v>519</v>
      </c>
      <c r="D156" s="9" t="s">
        <v>123</v>
      </c>
      <c r="E156" s="9" t="s">
        <v>2190</v>
      </c>
      <c r="F156" s="9">
        <v>2700000</v>
      </c>
      <c r="G156" s="8">
        <v>3007</v>
      </c>
      <c r="H156" s="4">
        <f t="shared" si="216"/>
        <v>0</v>
      </c>
      <c r="I156" s="4">
        <f t="shared" si="217"/>
        <v>0</v>
      </c>
      <c r="J156" s="4">
        <f t="shared" si="218"/>
        <v>0</v>
      </c>
      <c r="K156" s="4">
        <f t="shared" si="219"/>
        <v>3007</v>
      </c>
      <c r="L156" s="4">
        <f t="shared" si="220"/>
        <v>0</v>
      </c>
      <c r="M156" s="4">
        <f t="shared" si="221"/>
        <v>0</v>
      </c>
      <c r="N156" s="4">
        <f t="shared" si="222"/>
        <v>3007</v>
      </c>
      <c r="O156" s="5">
        <f t="shared" si="223"/>
        <v>80</v>
      </c>
      <c r="P156" s="6" t="str">
        <f t="shared" si="224"/>
        <v>61 To 90 Days</v>
      </c>
      <c r="Q156" s="7">
        <v>42855</v>
      </c>
      <c r="R156" s="6" t="s">
        <v>2178</v>
      </c>
      <c r="Y156" s="1" t="str">
        <f>"4320102335"</f>
        <v>4320102335</v>
      </c>
    </row>
    <row r="157" spans="1:25" x14ac:dyDescent="0.2">
      <c r="A157" s="9" t="s">
        <v>967</v>
      </c>
      <c r="B157" s="10">
        <v>42804</v>
      </c>
      <c r="C157" s="9" t="s">
        <v>301</v>
      </c>
      <c r="D157" s="9" t="s">
        <v>132</v>
      </c>
      <c r="E157" s="9" t="s">
        <v>2190</v>
      </c>
      <c r="F157" s="9">
        <v>100000</v>
      </c>
      <c r="G157" s="8">
        <v>3048</v>
      </c>
      <c r="H157" s="4">
        <f t="shared" ref="H157:H162" si="225">IF(O157&lt;=30,G157,0)</f>
        <v>0</v>
      </c>
      <c r="I157" s="4">
        <f t="shared" ref="I157:I162" si="226">IF(AND(O157&gt;30,O157&lt;=45),G157,0)</f>
        <v>0</v>
      </c>
      <c r="J157" s="4">
        <f t="shared" ref="J157:J162" si="227">IF(AND(O157&gt;45,O157&lt;=60),G157,0)</f>
        <v>3048</v>
      </c>
      <c r="K157" s="4">
        <f t="shared" ref="K157:K162" si="228">IF(AND(O157&gt;60,O157&lt;=90),G157,0)</f>
        <v>0</v>
      </c>
      <c r="L157" s="4">
        <f t="shared" ref="L157:L162" si="229">IF(AND(O157&gt;90,O157&lt;=120),G157,0)</f>
        <v>0</v>
      </c>
      <c r="M157" s="4">
        <f t="shared" ref="M157:M162" si="230">IF(O157&gt;120,G157,0)</f>
        <v>0</v>
      </c>
      <c r="N157" s="4">
        <f t="shared" ref="N157:N162" si="231">IF(O157&gt;60,G157,0)</f>
        <v>0</v>
      </c>
      <c r="O157" s="5">
        <f t="shared" ref="O157:O162" si="232">Q157-B157</f>
        <v>51</v>
      </c>
      <c r="P157" s="6" t="str">
        <f t="shared" ref="P157:P162" si="233">IF(AND(O157&lt;=30),"30 Days",IF(AND(O157&gt;30,O157&lt;=45),"31 TO 45 Days",IF(AND(O157&gt;45,O157&lt;=60),"46 To 60 Days",IF(AND(O157&gt;60,O157&lt;=90),"61 To 90 Days",IF(AND(O157&gt;90,O157&lt;=120),"91 To 120 Days",IF(AND(O157&gt;120),"Plus120Days",))))))</f>
        <v>46 To 60 Days</v>
      </c>
      <c r="Q157" s="7">
        <v>42855</v>
      </c>
      <c r="R157" s="6" t="s">
        <v>2178</v>
      </c>
      <c r="Y157" s="1" t="str">
        <f>"4190206428"</f>
        <v>4190206428</v>
      </c>
    </row>
    <row r="158" spans="1:25" x14ac:dyDescent="0.2">
      <c r="A158" s="9" t="s">
        <v>968</v>
      </c>
      <c r="B158" s="10">
        <v>42804</v>
      </c>
      <c r="C158" s="9" t="s">
        <v>300</v>
      </c>
      <c r="D158" s="9" t="s">
        <v>132</v>
      </c>
      <c r="E158" s="9" t="s">
        <v>2190</v>
      </c>
      <c r="F158" s="9">
        <v>100000</v>
      </c>
      <c r="G158" s="8">
        <v>3048</v>
      </c>
      <c r="H158" s="4">
        <f t="shared" si="225"/>
        <v>0</v>
      </c>
      <c r="I158" s="4">
        <f t="shared" si="226"/>
        <v>0</v>
      </c>
      <c r="J158" s="4">
        <f t="shared" si="227"/>
        <v>3048</v>
      </c>
      <c r="K158" s="4">
        <f t="shared" si="228"/>
        <v>0</v>
      </c>
      <c r="L158" s="4">
        <f t="shared" si="229"/>
        <v>0</v>
      </c>
      <c r="M158" s="4">
        <f t="shared" si="230"/>
        <v>0</v>
      </c>
      <c r="N158" s="4">
        <f t="shared" si="231"/>
        <v>0</v>
      </c>
      <c r="O158" s="5">
        <f t="shared" si="232"/>
        <v>51</v>
      </c>
      <c r="P158" s="6" t="str">
        <f t="shared" si="233"/>
        <v>46 To 60 Days</v>
      </c>
      <c r="Q158" s="7">
        <v>42855</v>
      </c>
      <c r="R158" s="6" t="s">
        <v>2178</v>
      </c>
      <c r="Y158" s="1" t="str">
        <f>"4190207082"</f>
        <v>4190207082</v>
      </c>
    </row>
    <row r="159" spans="1:25" x14ac:dyDescent="0.2">
      <c r="A159" s="9" t="s">
        <v>1069</v>
      </c>
      <c r="B159" s="10">
        <v>42812</v>
      </c>
      <c r="C159" s="9" t="s">
        <v>1070</v>
      </c>
      <c r="D159" s="9" t="s">
        <v>42</v>
      </c>
      <c r="E159" s="9" t="s">
        <v>2190</v>
      </c>
      <c r="F159" s="9">
        <v>1480000</v>
      </c>
      <c r="G159" s="8">
        <v>3073</v>
      </c>
      <c r="H159" s="4">
        <f t="shared" si="225"/>
        <v>0</v>
      </c>
      <c r="I159" s="4">
        <f t="shared" si="226"/>
        <v>3073</v>
      </c>
      <c r="J159" s="4">
        <f t="shared" si="227"/>
        <v>0</v>
      </c>
      <c r="K159" s="4">
        <f t="shared" si="228"/>
        <v>0</v>
      </c>
      <c r="L159" s="4">
        <f t="shared" si="229"/>
        <v>0</v>
      </c>
      <c r="M159" s="4">
        <f t="shared" si="230"/>
        <v>0</v>
      </c>
      <c r="N159" s="4">
        <f t="shared" si="231"/>
        <v>0</v>
      </c>
      <c r="O159" s="5">
        <f t="shared" si="232"/>
        <v>43</v>
      </c>
      <c r="P159" s="6" t="str">
        <f t="shared" si="233"/>
        <v>31 TO 45 Days</v>
      </c>
      <c r="Q159" s="7">
        <v>42855</v>
      </c>
      <c r="R159" s="6" t="s">
        <v>2178</v>
      </c>
      <c r="Y159" s="1" t="str">
        <f>"4711236141"</f>
        <v>4711236141</v>
      </c>
    </row>
    <row r="160" spans="1:25" x14ac:dyDescent="0.2">
      <c r="A160" s="9" t="s">
        <v>959</v>
      </c>
      <c r="B160" s="10">
        <v>42803</v>
      </c>
      <c r="C160" s="9" t="s">
        <v>960</v>
      </c>
      <c r="D160" s="9" t="s">
        <v>42</v>
      </c>
      <c r="E160" s="9" t="s">
        <v>2190</v>
      </c>
      <c r="F160" s="9">
        <v>1480000</v>
      </c>
      <c r="G160" s="8">
        <v>3128</v>
      </c>
      <c r="H160" s="4">
        <f t="shared" si="225"/>
        <v>0</v>
      </c>
      <c r="I160" s="4">
        <f t="shared" si="226"/>
        <v>0</v>
      </c>
      <c r="J160" s="4">
        <f t="shared" si="227"/>
        <v>3128</v>
      </c>
      <c r="K160" s="4">
        <f t="shared" si="228"/>
        <v>0</v>
      </c>
      <c r="L160" s="4">
        <f t="shared" si="229"/>
        <v>0</v>
      </c>
      <c r="M160" s="4">
        <f t="shared" si="230"/>
        <v>0</v>
      </c>
      <c r="N160" s="4">
        <f t="shared" si="231"/>
        <v>0</v>
      </c>
      <c r="O160" s="5">
        <f t="shared" si="232"/>
        <v>52</v>
      </c>
      <c r="P160" s="6" t="str">
        <f t="shared" si="233"/>
        <v>46 To 60 Days</v>
      </c>
      <c r="Q160" s="7">
        <v>42855</v>
      </c>
      <c r="R160" s="6" t="s">
        <v>2178</v>
      </c>
      <c r="Y160" s="1" t="str">
        <f>"415952932"</f>
        <v>415952932</v>
      </c>
    </row>
    <row r="161" spans="1:25" x14ac:dyDescent="0.2">
      <c r="A161" s="9" t="s">
        <v>1354</v>
      </c>
      <c r="B161" s="10">
        <v>42821</v>
      </c>
      <c r="C161" s="9" t="s">
        <v>1355</v>
      </c>
      <c r="D161" s="9" t="s">
        <v>1353</v>
      </c>
      <c r="E161" s="9" t="s">
        <v>2190</v>
      </c>
      <c r="F161" s="9">
        <v>500000</v>
      </c>
      <c r="G161" s="8">
        <v>3151</v>
      </c>
      <c r="H161" s="4">
        <f t="shared" si="225"/>
        <v>0</v>
      </c>
      <c r="I161" s="4">
        <f t="shared" si="226"/>
        <v>3151</v>
      </c>
      <c r="J161" s="4">
        <f t="shared" si="227"/>
        <v>0</v>
      </c>
      <c r="K161" s="4">
        <f t="shared" si="228"/>
        <v>0</v>
      </c>
      <c r="L161" s="4">
        <f t="shared" si="229"/>
        <v>0</v>
      </c>
      <c r="M161" s="4">
        <f t="shared" si="230"/>
        <v>0</v>
      </c>
      <c r="N161" s="4">
        <f t="shared" si="231"/>
        <v>0</v>
      </c>
      <c r="O161" s="5">
        <f t="shared" si="232"/>
        <v>34</v>
      </c>
      <c r="P161" s="6" t="str">
        <f t="shared" si="233"/>
        <v>31 TO 45 Days</v>
      </c>
      <c r="Q161" s="7">
        <v>42855</v>
      </c>
      <c r="R161" s="6" t="s">
        <v>2178</v>
      </c>
      <c r="Y161" s="1" t="str">
        <f>"4170205247"</f>
        <v>4170205247</v>
      </c>
    </row>
    <row r="162" spans="1:25" x14ac:dyDescent="0.2">
      <c r="A162" s="9" t="s">
        <v>1796</v>
      </c>
      <c r="B162" s="10">
        <v>42832</v>
      </c>
      <c r="C162" s="9" t="s">
        <v>1797</v>
      </c>
      <c r="D162" s="9" t="s">
        <v>1353</v>
      </c>
      <c r="E162" s="9" t="s">
        <v>2190</v>
      </c>
      <c r="F162" s="9">
        <v>500000</v>
      </c>
      <c r="G162" s="8">
        <v>3151</v>
      </c>
      <c r="H162" s="4">
        <f t="shared" si="225"/>
        <v>3151</v>
      </c>
      <c r="I162" s="4">
        <f t="shared" si="226"/>
        <v>0</v>
      </c>
      <c r="J162" s="4">
        <f t="shared" si="227"/>
        <v>0</v>
      </c>
      <c r="K162" s="4">
        <f t="shared" si="228"/>
        <v>0</v>
      </c>
      <c r="L162" s="4">
        <f t="shared" si="229"/>
        <v>0</v>
      </c>
      <c r="M162" s="4">
        <f t="shared" si="230"/>
        <v>0</v>
      </c>
      <c r="N162" s="4">
        <f t="shared" si="231"/>
        <v>0</v>
      </c>
      <c r="O162" s="5">
        <f t="shared" si="232"/>
        <v>23</v>
      </c>
      <c r="P162" s="6" t="str">
        <f t="shared" si="233"/>
        <v>30 Days</v>
      </c>
      <c r="Q162" s="7">
        <v>42855</v>
      </c>
      <c r="R162" s="6" t="s">
        <v>2178</v>
      </c>
      <c r="Y162" s="1" t="str">
        <f>"4170205852"</f>
        <v>4170205852</v>
      </c>
    </row>
    <row r="163" spans="1:25" x14ac:dyDescent="0.2">
      <c r="A163" s="9" t="s">
        <v>174</v>
      </c>
      <c r="B163" s="10">
        <v>42710</v>
      </c>
      <c r="C163" s="9" t="s">
        <v>170</v>
      </c>
      <c r="D163" s="9" t="s">
        <v>42</v>
      </c>
      <c r="E163" s="9" t="s">
        <v>2190</v>
      </c>
      <c r="F163" s="9">
        <v>1480000</v>
      </c>
      <c r="G163" s="8">
        <v>3202</v>
      </c>
      <c r="H163" s="4">
        <f t="shared" ref="H163:H164" si="234">IF(O163&lt;=30,G163,0)</f>
        <v>0</v>
      </c>
      <c r="I163" s="4">
        <f t="shared" ref="I163:I164" si="235">IF(AND(O163&gt;30,O163&lt;=45),G163,0)</f>
        <v>0</v>
      </c>
      <c r="J163" s="4">
        <f t="shared" ref="J163:J164" si="236">IF(AND(O163&gt;45,O163&lt;=60),G163,0)</f>
        <v>0</v>
      </c>
      <c r="K163" s="4">
        <f t="shared" ref="K163:K164" si="237">IF(AND(O163&gt;60,O163&lt;=90),G163,0)</f>
        <v>0</v>
      </c>
      <c r="L163" s="4">
        <f t="shared" ref="L163:L164" si="238">IF(AND(O163&gt;90,O163&lt;=120),G163,0)</f>
        <v>0</v>
      </c>
      <c r="M163" s="4">
        <f t="shared" ref="M163:M164" si="239">IF(O163&gt;120,G163,0)</f>
        <v>3202</v>
      </c>
      <c r="N163" s="4">
        <f t="shared" ref="N163:N164" si="240">IF(O163&gt;60,G163,0)</f>
        <v>3202</v>
      </c>
      <c r="O163" s="5">
        <f t="shared" ref="O163:O164" si="241">Q163-B163</f>
        <v>145</v>
      </c>
      <c r="P163" s="6" t="str">
        <f t="shared" ref="P163:P164" si="242">IF(AND(O163&lt;=30),"30 Days",IF(AND(O163&gt;30,O163&lt;=45),"31 TO 45 Days",IF(AND(O163&gt;45,O163&lt;=60),"46 To 60 Days",IF(AND(O163&gt;60,O163&lt;=90),"61 To 90 Days",IF(AND(O163&gt;90,O163&lt;=120),"91 To 120 Days",IF(AND(O163&gt;120),"Plus120Days",))))))</f>
        <v>Plus120Days</v>
      </c>
      <c r="Q163" s="7">
        <v>42855</v>
      </c>
      <c r="R163" s="6" t="s">
        <v>2178</v>
      </c>
      <c r="Y163" s="1" t="str">
        <f>"4395796391"</f>
        <v>4395796391</v>
      </c>
    </row>
    <row r="164" spans="1:25" x14ac:dyDescent="0.2">
      <c r="A164" s="9" t="s">
        <v>1334</v>
      </c>
      <c r="B164" s="10">
        <v>42819</v>
      </c>
      <c r="C164" s="9" t="s">
        <v>1335</v>
      </c>
      <c r="D164" s="9" t="s">
        <v>252</v>
      </c>
      <c r="E164" s="9" t="s">
        <v>2190</v>
      </c>
      <c r="F164" s="9">
        <v>20000</v>
      </c>
      <c r="G164" s="8">
        <v>3264</v>
      </c>
      <c r="H164" s="4">
        <f t="shared" si="234"/>
        <v>0</v>
      </c>
      <c r="I164" s="4">
        <f t="shared" si="235"/>
        <v>3264</v>
      </c>
      <c r="J164" s="4">
        <f t="shared" si="236"/>
        <v>0</v>
      </c>
      <c r="K164" s="4">
        <f t="shared" si="237"/>
        <v>0</v>
      </c>
      <c r="L164" s="4">
        <f t="shared" si="238"/>
        <v>0</v>
      </c>
      <c r="M164" s="4">
        <f t="shared" si="239"/>
        <v>0</v>
      </c>
      <c r="N164" s="4">
        <f t="shared" si="240"/>
        <v>0</v>
      </c>
      <c r="O164" s="5">
        <f t="shared" si="241"/>
        <v>36</v>
      </c>
      <c r="P164" s="6" t="str">
        <f t="shared" si="242"/>
        <v>31 TO 45 Days</v>
      </c>
      <c r="Q164" s="7">
        <v>42855</v>
      </c>
      <c r="R164" s="6" t="s">
        <v>2178</v>
      </c>
      <c r="Y164" s="1" t="str">
        <f>"4030303815"</f>
        <v>4030303815</v>
      </c>
    </row>
    <row r="165" spans="1:25" x14ac:dyDescent="0.2">
      <c r="A165" s="9" t="s">
        <v>1668</v>
      </c>
      <c r="B165" s="10">
        <v>42828</v>
      </c>
      <c r="C165" s="9" t="s">
        <v>1665</v>
      </c>
      <c r="D165" s="9" t="s">
        <v>266</v>
      </c>
      <c r="E165" s="9" t="s">
        <v>2190</v>
      </c>
      <c r="F165" s="9">
        <v>0</v>
      </c>
      <c r="G165" s="8">
        <v>3489</v>
      </c>
      <c r="H165" s="4">
        <f t="shared" ref="H165:H166" si="243">IF(O165&lt;=30,G165,0)</f>
        <v>3489</v>
      </c>
      <c r="I165" s="4">
        <f t="shared" ref="I165:I166" si="244">IF(AND(O165&gt;30,O165&lt;=45),G165,0)</f>
        <v>0</v>
      </c>
      <c r="J165" s="4">
        <f t="shared" ref="J165:J166" si="245">IF(AND(O165&gt;45,O165&lt;=60),G165,0)</f>
        <v>0</v>
      </c>
      <c r="K165" s="4">
        <f t="shared" ref="K165:K166" si="246">IF(AND(O165&gt;60,O165&lt;=90),G165,0)</f>
        <v>0</v>
      </c>
      <c r="L165" s="4">
        <f t="shared" ref="L165:L166" si="247">IF(AND(O165&gt;90,O165&lt;=120),G165,0)</f>
        <v>0</v>
      </c>
      <c r="M165" s="4">
        <f t="shared" ref="M165:M166" si="248">IF(O165&gt;120,G165,0)</f>
        <v>0</v>
      </c>
      <c r="N165" s="4">
        <f t="shared" ref="N165:N166" si="249">IF(O165&gt;60,G165,0)</f>
        <v>0</v>
      </c>
      <c r="O165" s="5">
        <f t="shared" ref="O165:O166" si="250">Q165-B165</f>
        <v>27</v>
      </c>
      <c r="P165" s="6" t="str">
        <f t="shared" ref="P165:P166" si="251">IF(AND(O165&lt;=30),"30 Days",IF(AND(O165&gt;30,O165&lt;=45),"31 TO 45 Days",IF(AND(O165&gt;45,O165&lt;=60),"46 To 60 Days",IF(AND(O165&gt;60,O165&lt;=90),"61 To 90 Days",IF(AND(O165&gt;90,O165&lt;=120),"91 To 120 Days",IF(AND(O165&gt;120),"Plus120Days",))))))</f>
        <v>30 Days</v>
      </c>
      <c r="Q165" s="7">
        <v>42855</v>
      </c>
      <c r="R165" s="6" t="s">
        <v>2178</v>
      </c>
      <c r="Y165" s="1" t="str">
        <f>"4052210359"</f>
        <v>4052210359</v>
      </c>
    </row>
    <row r="166" spans="1:25" x14ac:dyDescent="0.2">
      <c r="A166" s="9" t="s">
        <v>1818</v>
      </c>
      <c r="B166" s="10">
        <v>42835</v>
      </c>
      <c r="C166" s="9" t="s">
        <v>1819</v>
      </c>
      <c r="D166" s="9" t="s">
        <v>240</v>
      </c>
      <c r="E166" s="9" t="s">
        <v>2190</v>
      </c>
      <c r="F166" s="9">
        <v>0</v>
      </c>
      <c r="G166" s="8">
        <v>3526</v>
      </c>
      <c r="H166" s="4">
        <f t="shared" si="243"/>
        <v>3526</v>
      </c>
      <c r="I166" s="4">
        <f t="shared" si="244"/>
        <v>0</v>
      </c>
      <c r="J166" s="4">
        <f t="shared" si="245"/>
        <v>0</v>
      </c>
      <c r="K166" s="4">
        <f t="shared" si="246"/>
        <v>0</v>
      </c>
      <c r="L166" s="4">
        <f t="shared" si="247"/>
        <v>0</v>
      </c>
      <c r="M166" s="4">
        <f t="shared" si="248"/>
        <v>0</v>
      </c>
      <c r="N166" s="4">
        <f t="shared" si="249"/>
        <v>0</v>
      </c>
      <c r="O166" s="5">
        <f t="shared" si="250"/>
        <v>20</v>
      </c>
      <c r="P166" s="6" t="str">
        <f t="shared" si="251"/>
        <v>30 Days</v>
      </c>
      <c r="Q166" s="7">
        <v>42855</v>
      </c>
      <c r="R166" s="6" t="str">
        <f>VLOOKUP(A166:A3193,[1]BOM_INV_OPERATOR_DETAILS_OUTPUT!$A$2:$D$1233,4,FALSE)</f>
        <v>AI</v>
      </c>
      <c r="Y166" s="1" t="str">
        <f>"4030309712"</f>
        <v>4030309712</v>
      </c>
    </row>
    <row r="167" spans="1:25" x14ac:dyDescent="0.2">
      <c r="A167" s="9" t="s">
        <v>1452</v>
      </c>
      <c r="B167" s="10">
        <v>42824</v>
      </c>
      <c r="C167" s="9" t="s">
        <v>1453</v>
      </c>
      <c r="D167" s="9" t="s">
        <v>17</v>
      </c>
      <c r="E167" s="9" t="s">
        <v>2190</v>
      </c>
      <c r="F167" s="9">
        <v>500000</v>
      </c>
      <c r="G167" s="8">
        <v>3649</v>
      </c>
      <c r="H167" s="4">
        <f t="shared" ref="H167:H173" si="252">IF(O167&lt;=30,G167,0)</f>
        <v>0</v>
      </c>
      <c r="I167" s="4">
        <f t="shared" ref="I167:I173" si="253">IF(AND(O167&gt;30,O167&lt;=45),G167,0)</f>
        <v>3649</v>
      </c>
      <c r="J167" s="4">
        <f t="shared" ref="J167:J173" si="254">IF(AND(O167&gt;45,O167&lt;=60),G167,0)</f>
        <v>0</v>
      </c>
      <c r="K167" s="4">
        <f t="shared" ref="K167:K173" si="255">IF(AND(O167&gt;60,O167&lt;=90),G167,0)</f>
        <v>0</v>
      </c>
      <c r="L167" s="4">
        <f t="shared" ref="L167:L173" si="256">IF(AND(O167&gt;90,O167&lt;=120),G167,0)</f>
        <v>0</v>
      </c>
      <c r="M167" s="4">
        <f t="shared" ref="M167:M173" si="257">IF(O167&gt;120,G167,0)</f>
        <v>0</v>
      </c>
      <c r="N167" s="4">
        <f t="shared" ref="N167:N173" si="258">IF(O167&gt;60,G167,0)</f>
        <v>0</v>
      </c>
      <c r="O167" s="5">
        <f t="shared" ref="O167:O173" si="259">Q167-B167</f>
        <v>31</v>
      </c>
      <c r="P167" s="6" t="str">
        <f t="shared" ref="P167:P173" si="260">IF(AND(O167&lt;=30),"30 Days",IF(AND(O167&gt;30,O167&lt;=45),"31 TO 45 Days",IF(AND(O167&gt;45,O167&lt;=60),"46 To 60 Days",IF(AND(O167&gt;60,O167&lt;=90),"61 To 90 Days",IF(AND(O167&gt;90,O167&lt;=120),"91 To 120 Days",IF(AND(O167&gt;120),"Plus120Days",))))))</f>
        <v>31 TO 45 Days</v>
      </c>
      <c r="Q167" s="7">
        <v>42855</v>
      </c>
      <c r="R167" s="6" t="s">
        <v>2178</v>
      </c>
      <c r="Y167" s="1" t="str">
        <f>"4540131371"</f>
        <v>4540131371</v>
      </c>
    </row>
    <row r="168" spans="1:25" x14ac:dyDescent="0.2">
      <c r="A168" s="9" t="s">
        <v>450</v>
      </c>
      <c r="B168" s="10">
        <v>42768</v>
      </c>
      <c r="C168" s="9" t="s">
        <v>451</v>
      </c>
      <c r="D168" s="9" t="s">
        <v>270</v>
      </c>
      <c r="E168" s="9" t="s">
        <v>2190</v>
      </c>
      <c r="F168" s="9">
        <v>0</v>
      </c>
      <c r="G168" s="8">
        <v>3664</v>
      </c>
      <c r="H168" s="4">
        <f t="shared" si="252"/>
        <v>0</v>
      </c>
      <c r="I168" s="4">
        <f t="shared" si="253"/>
        <v>0</v>
      </c>
      <c r="J168" s="4">
        <f t="shared" si="254"/>
        <v>0</v>
      </c>
      <c r="K168" s="4">
        <f t="shared" si="255"/>
        <v>3664</v>
      </c>
      <c r="L168" s="4">
        <f t="shared" si="256"/>
        <v>0</v>
      </c>
      <c r="M168" s="4">
        <f t="shared" si="257"/>
        <v>0</v>
      </c>
      <c r="N168" s="4">
        <f t="shared" si="258"/>
        <v>3664</v>
      </c>
      <c r="O168" s="5">
        <f t="shared" si="259"/>
        <v>87</v>
      </c>
      <c r="P168" s="6" t="str">
        <f t="shared" si="260"/>
        <v>61 To 90 Days</v>
      </c>
      <c r="Q168" s="7">
        <v>42855</v>
      </c>
      <c r="R168" s="6" t="s">
        <v>2178</v>
      </c>
      <c r="Y168" s="1" t="str">
        <f>"4570267957"</f>
        <v>4570267957</v>
      </c>
    </row>
    <row r="169" spans="1:25" x14ac:dyDescent="0.2">
      <c r="A169" s="9" t="s">
        <v>1794</v>
      </c>
      <c r="B169" s="10">
        <v>42832</v>
      </c>
      <c r="C169" s="9" t="s">
        <v>1795</v>
      </c>
      <c r="D169" s="9" t="s">
        <v>1353</v>
      </c>
      <c r="E169" s="9" t="s">
        <v>2190</v>
      </c>
      <c r="F169" s="9">
        <v>500000</v>
      </c>
      <c r="G169" s="8">
        <v>3726</v>
      </c>
      <c r="H169" s="4">
        <f t="shared" si="252"/>
        <v>3726</v>
      </c>
      <c r="I169" s="4">
        <f t="shared" si="253"/>
        <v>0</v>
      </c>
      <c r="J169" s="4">
        <f t="shared" si="254"/>
        <v>0</v>
      </c>
      <c r="K169" s="4">
        <f t="shared" si="255"/>
        <v>0</v>
      </c>
      <c r="L169" s="4">
        <f t="shared" si="256"/>
        <v>0</v>
      </c>
      <c r="M169" s="4">
        <f t="shared" si="257"/>
        <v>0</v>
      </c>
      <c r="N169" s="4">
        <f t="shared" si="258"/>
        <v>0</v>
      </c>
      <c r="O169" s="5">
        <f t="shared" si="259"/>
        <v>23</v>
      </c>
      <c r="P169" s="6" t="str">
        <f t="shared" si="260"/>
        <v>30 Days</v>
      </c>
      <c r="Q169" s="7">
        <v>42855</v>
      </c>
      <c r="R169" s="6" t="s">
        <v>2178</v>
      </c>
      <c r="Y169" s="1" t="str">
        <f>"4170205933"</f>
        <v>4170205933</v>
      </c>
    </row>
    <row r="170" spans="1:25" x14ac:dyDescent="0.2">
      <c r="A170" s="9" t="s">
        <v>1967</v>
      </c>
      <c r="B170" s="10">
        <v>42836</v>
      </c>
      <c r="C170" s="9" t="s">
        <v>1968</v>
      </c>
      <c r="D170" s="9" t="s">
        <v>1966</v>
      </c>
      <c r="E170" s="9" t="s">
        <v>2190</v>
      </c>
      <c r="F170" s="9">
        <v>0</v>
      </c>
      <c r="G170" s="8">
        <v>3726</v>
      </c>
      <c r="H170" s="4">
        <f t="shared" si="252"/>
        <v>3726</v>
      </c>
      <c r="I170" s="4">
        <f t="shared" si="253"/>
        <v>0</v>
      </c>
      <c r="J170" s="4">
        <f t="shared" si="254"/>
        <v>0</v>
      </c>
      <c r="K170" s="4">
        <f t="shared" si="255"/>
        <v>0</v>
      </c>
      <c r="L170" s="4">
        <f t="shared" si="256"/>
        <v>0</v>
      </c>
      <c r="M170" s="4">
        <f t="shared" si="257"/>
        <v>0</v>
      </c>
      <c r="N170" s="4">
        <f t="shared" si="258"/>
        <v>0</v>
      </c>
      <c r="O170" s="5">
        <f t="shared" si="259"/>
        <v>19</v>
      </c>
      <c r="P170" s="6" t="str">
        <f t="shared" si="260"/>
        <v>30 Days</v>
      </c>
      <c r="Q170" s="7">
        <v>42855</v>
      </c>
      <c r="R170" s="6" t="str">
        <f>VLOOKUP(A170:A3261,[1]BOM_INV_OPERATOR_DETAILS_OUTPUT!$A$2:$D$1233,4,FALSE)</f>
        <v>AI</v>
      </c>
      <c r="Y170" s="1" t="str">
        <f>"4580119891"</f>
        <v>4580119891</v>
      </c>
    </row>
    <row r="171" spans="1:25" x14ac:dyDescent="0.2">
      <c r="A171" s="9" t="s">
        <v>1820</v>
      </c>
      <c r="B171" s="10">
        <v>42835</v>
      </c>
      <c r="C171" s="9" t="s">
        <v>1821</v>
      </c>
      <c r="D171" s="9" t="s">
        <v>151</v>
      </c>
      <c r="E171" s="9" t="s">
        <v>2190</v>
      </c>
      <c r="F171" s="9">
        <v>0</v>
      </c>
      <c r="G171" s="8">
        <v>3726</v>
      </c>
      <c r="H171" s="4">
        <f t="shared" si="252"/>
        <v>3726</v>
      </c>
      <c r="I171" s="4">
        <f t="shared" si="253"/>
        <v>0</v>
      </c>
      <c r="J171" s="4">
        <f t="shared" si="254"/>
        <v>0</v>
      </c>
      <c r="K171" s="4">
        <f t="shared" si="255"/>
        <v>0</v>
      </c>
      <c r="L171" s="4">
        <f t="shared" si="256"/>
        <v>0</v>
      </c>
      <c r="M171" s="4">
        <f t="shared" si="257"/>
        <v>0</v>
      </c>
      <c r="N171" s="4">
        <f t="shared" si="258"/>
        <v>0</v>
      </c>
      <c r="O171" s="5">
        <f t="shared" si="259"/>
        <v>20</v>
      </c>
      <c r="P171" s="6" t="str">
        <f t="shared" si="260"/>
        <v>30 Days</v>
      </c>
      <c r="Q171" s="7">
        <v>42855</v>
      </c>
      <c r="R171" s="6" t="str">
        <f>VLOOKUP(A171:A3263,[1]BOM_INV_OPERATOR_DETAILS_OUTPUT!$A$2:$D$1233,4,FALSE)</f>
        <v>AI</v>
      </c>
      <c r="Y171" s="1" t="str">
        <f>"4921041495"</f>
        <v>4921041495</v>
      </c>
    </row>
    <row r="172" spans="1:25" x14ac:dyDescent="0.2">
      <c r="A172" s="9" t="s">
        <v>1634</v>
      </c>
      <c r="B172" s="10">
        <v>42828</v>
      </c>
      <c r="C172" s="9" t="s">
        <v>1635</v>
      </c>
      <c r="D172" s="9" t="s">
        <v>233</v>
      </c>
      <c r="E172" s="9" t="s">
        <v>2190</v>
      </c>
      <c r="F172" s="9">
        <v>600000</v>
      </c>
      <c r="G172" s="8">
        <v>3741</v>
      </c>
      <c r="H172" s="4">
        <f t="shared" si="252"/>
        <v>3741</v>
      </c>
      <c r="I172" s="4">
        <f t="shared" si="253"/>
        <v>0</v>
      </c>
      <c r="J172" s="4">
        <f t="shared" si="254"/>
        <v>0</v>
      </c>
      <c r="K172" s="4">
        <f t="shared" si="255"/>
        <v>0</v>
      </c>
      <c r="L172" s="4">
        <f t="shared" si="256"/>
        <v>0</v>
      </c>
      <c r="M172" s="4">
        <f t="shared" si="257"/>
        <v>0</v>
      </c>
      <c r="N172" s="4">
        <f t="shared" si="258"/>
        <v>0</v>
      </c>
      <c r="O172" s="5">
        <f t="shared" si="259"/>
        <v>27</v>
      </c>
      <c r="P172" s="6" t="str">
        <f t="shared" si="260"/>
        <v>30 Days</v>
      </c>
      <c r="Q172" s="7">
        <v>42855</v>
      </c>
      <c r="R172" s="6" t="s">
        <v>2178</v>
      </c>
      <c r="Y172" s="1" t="str">
        <f>"423610457"</f>
        <v>423610457</v>
      </c>
    </row>
    <row r="173" spans="1:25" x14ac:dyDescent="0.2">
      <c r="A173" s="9" t="s">
        <v>766</v>
      </c>
      <c r="B173" s="10">
        <v>42793</v>
      </c>
      <c r="C173" s="9" t="s">
        <v>767</v>
      </c>
      <c r="D173" s="9" t="s">
        <v>270</v>
      </c>
      <c r="E173" s="9" t="s">
        <v>2190</v>
      </c>
      <c r="F173" s="9">
        <v>0</v>
      </c>
      <c r="G173" s="8">
        <v>3763</v>
      </c>
      <c r="H173" s="4">
        <f t="shared" si="252"/>
        <v>0</v>
      </c>
      <c r="I173" s="4">
        <f t="shared" si="253"/>
        <v>0</v>
      </c>
      <c r="J173" s="4">
        <f t="shared" si="254"/>
        <v>0</v>
      </c>
      <c r="K173" s="4">
        <f t="shared" si="255"/>
        <v>3763</v>
      </c>
      <c r="L173" s="4">
        <f t="shared" si="256"/>
        <v>0</v>
      </c>
      <c r="M173" s="4">
        <f t="shared" si="257"/>
        <v>0</v>
      </c>
      <c r="N173" s="4">
        <f t="shared" si="258"/>
        <v>3763</v>
      </c>
      <c r="O173" s="5">
        <f t="shared" si="259"/>
        <v>62</v>
      </c>
      <c r="P173" s="6" t="str">
        <f t="shared" si="260"/>
        <v>61 To 90 Days</v>
      </c>
      <c r="Q173" s="7">
        <v>42855</v>
      </c>
      <c r="R173" s="6" t="s">
        <v>2178</v>
      </c>
      <c r="Y173" s="1" t="str">
        <f>"4570269301"</f>
        <v>4570269301</v>
      </c>
    </row>
    <row r="174" spans="1:25" x14ac:dyDescent="0.2">
      <c r="A174" s="9" t="s">
        <v>1489</v>
      </c>
      <c r="B174" s="10">
        <v>42824</v>
      </c>
      <c r="C174" s="9" t="s">
        <v>1490</v>
      </c>
      <c r="D174" s="9" t="s">
        <v>144</v>
      </c>
      <c r="E174" s="9" t="s">
        <v>2190</v>
      </c>
      <c r="F174" s="9">
        <v>2300000</v>
      </c>
      <c r="G174" s="8">
        <v>3782</v>
      </c>
      <c r="H174" s="4">
        <f t="shared" ref="H174:H178" si="261">IF(O174&lt;=30,G174,0)</f>
        <v>0</v>
      </c>
      <c r="I174" s="4">
        <f t="shared" ref="I174:I178" si="262">IF(AND(O174&gt;30,O174&lt;=45),G174,0)</f>
        <v>3782</v>
      </c>
      <c r="J174" s="4">
        <f t="shared" ref="J174:J178" si="263">IF(AND(O174&gt;45,O174&lt;=60),G174,0)</f>
        <v>0</v>
      </c>
      <c r="K174" s="4">
        <f t="shared" ref="K174:K178" si="264">IF(AND(O174&gt;60,O174&lt;=90),G174,0)</f>
        <v>0</v>
      </c>
      <c r="L174" s="4">
        <f t="shared" ref="L174:L178" si="265">IF(AND(O174&gt;90,O174&lt;=120),G174,0)</f>
        <v>0</v>
      </c>
      <c r="M174" s="4">
        <f t="shared" ref="M174:M178" si="266">IF(O174&gt;120,G174,0)</f>
        <v>0</v>
      </c>
      <c r="N174" s="4">
        <f t="shared" ref="N174:N178" si="267">IF(O174&gt;60,G174,0)</f>
        <v>0</v>
      </c>
      <c r="O174" s="5">
        <f t="shared" ref="O174:O178" si="268">Q174-B174</f>
        <v>31</v>
      </c>
      <c r="P174" s="6" t="str">
        <f t="shared" ref="P174:P178" si="269">IF(AND(O174&lt;=30),"30 Days",IF(AND(O174&gt;30,O174&lt;=45),"31 TO 45 Days",IF(AND(O174&gt;45,O174&lt;=60),"46 To 60 Days",IF(AND(O174&gt;60,O174&lt;=90),"61 To 90 Days",IF(AND(O174&gt;90,O174&lt;=120),"91 To 120 Days",IF(AND(O174&gt;120),"Plus120Days",))))))</f>
        <v>31 TO 45 Days</v>
      </c>
      <c r="Q174" s="7">
        <v>42855</v>
      </c>
      <c r="R174" s="6" t="s">
        <v>2178</v>
      </c>
      <c r="Y174" s="1" t="str">
        <f>"4912905241"</f>
        <v>4912905241</v>
      </c>
    </row>
    <row r="175" spans="1:25" x14ac:dyDescent="0.2">
      <c r="A175" s="9" t="s">
        <v>2161</v>
      </c>
      <c r="B175" s="10">
        <v>42840</v>
      </c>
      <c r="C175" s="9" t="s">
        <v>2162</v>
      </c>
      <c r="D175" s="9" t="s">
        <v>183</v>
      </c>
      <c r="E175" s="9" t="s">
        <v>2190</v>
      </c>
      <c r="F175" s="9">
        <v>500000</v>
      </c>
      <c r="G175" s="8">
        <v>3794</v>
      </c>
      <c r="H175" s="4">
        <f t="shared" si="261"/>
        <v>3794</v>
      </c>
      <c r="I175" s="4">
        <f t="shared" si="262"/>
        <v>0</v>
      </c>
      <c r="J175" s="4">
        <f t="shared" si="263"/>
        <v>0</v>
      </c>
      <c r="K175" s="4">
        <f t="shared" si="264"/>
        <v>0</v>
      </c>
      <c r="L175" s="4">
        <f t="shared" si="265"/>
        <v>0</v>
      </c>
      <c r="M175" s="4">
        <f t="shared" si="266"/>
        <v>0</v>
      </c>
      <c r="N175" s="4">
        <f t="shared" si="267"/>
        <v>0</v>
      </c>
      <c r="O175" s="5">
        <f t="shared" si="268"/>
        <v>15</v>
      </c>
      <c r="P175" s="6" t="str">
        <f t="shared" si="269"/>
        <v>30 Days</v>
      </c>
      <c r="Q175" s="7">
        <v>42855</v>
      </c>
      <c r="R175" s="6" t="str">
        <f>VLOOKUP(A175:A3285,[1]BOM_INV_OPERATOR_DETAILS_OUTPUT!$A$2:$D$1233,4,FALSE)</f>
        <v>AI</v>
      </c>
      <c r="Y175" s="1" t="str">
        <f>"423610598"</f>
        <v>423610598</v>
      </c>
    </row>
    <row r="176" spans="1:25" x14ac:dyDescent="0.2">
      <c r="A176" s="9" t="s">
        <v>1584</v>
      </c>
      <c r="B176" s="10">
        <v>42826</v>
      </c>
      <c r="C176" s="9" t="s">
        <v>1585</v>
      </c>
      <c r="D176" s="9" t="s">
        <v>39</v>
      </c>
      <c r="E176" s="9" t="s">
        <v>2190</v>
      </c>
      <c r="F176" s="9">
        <v>7500000</v>
      </c>
      <c r="G176" s="8">
        <v>3794</v>
      </c>
      <c r="H176" s="4">
        <f t="shared" si="261"/>
        <v>3794</v>
      </c>
      <c r="I176" s="4">
        <f t="shared" si="262"/>
        <v>0</v>
      </c>
      <c r="J176" s="4">
        <f t="shared" si="263"/>
        <v>0</v>
      </c>
      <c r="K176" s="4">
        <f t="shared" si="264"/>
        <v>0</v>
      </c>
      <c r="L176" s="4">
        <f t="shared" si="265"/>
        <v>0</v>
      </c>
      <c r="M176" s="4">
        <f t="shared" si="266"/>
        <v>0</v>
      </c>
      <c r="N176" s="4">
        <f t="shared" si="267"/>
        <v>0</v>
      </c>
      <c r="O176" s="5">
        <f t="shared" si="268"/>
        <v>29</v>
      </c>
      <c r="P176" s="6" t="str">
        <f t="shared" si="269"/>
        <v>30 Days</v>
      </c>
      <c r="Q176" s="7">
        <v>42855</v>
      </c>
      <c r="R176" s="6" t="s">
        <v>2178</v>
      </c>
      <c r="Y176" s="1" t="str">
        <f>"4220330355"</f>
        <v>4220330355</v>
      </c>
    </row>
    <row r="177" spans="1:25" x14ac:dyDescent="0.2">
      <c r="A177" s="9" t="s">
        <v>1073</v>
      </c>
      <c r="B177" s="10">
        <v>42812</v>
      </c>
      <c r="C177" s="9" t="s">
        <v>1074</v>
      </c>
      <c r="D177" s="9" t="s">
        <v>39</v>
      </c>
      <c r="E177" s="9" t="s">
        <v>2190</v>
      </c>
      <c r="F177" s="9">
        <v>7500000</v>
      </c>
      <c r="G177" s="8">
        <v>3841</v>
      </c>
      <c r="H177" s="4">
        <f t="shared" si="261"/>
        <v>0</v>
      </c>
      <c r="I177" s="4">
        <f t="shared" si="262"/>
        <v>3841</v>
      </c>
      <c r="J177" s="4">
        <f t="shared" si="263"/>
        <v>0</v>
      </c>
      <c r="K177" s="4">
        <f t="shared" si="264"/>
        <v>0</v>
      </c>
      <c r="L177" s="4">
        <f t="shared" si="265"/>
        <v>0</v>
      </c>
      <c r="M177" s="4">
        <f t="shared" si="266"/>
        <v>0</v>
      </c>
      <c r="N177" s="4">
        <f t="shared" si="267"/>
        <v>0</v>
      </c>
      <c r="O177" s="5">
        <f t="shared" si="268"/>
        <v>43</v>
      </c>
      <c r="P177" s="6" t="str">
        <f t="shared" si="269"/>
        <v>31 TO 45 Days</v>
      </c>
      <c r="Q177" s="7">
        <v>42855</v>
      </c>
      <c r="R177" s="6" t="s">
        <v>2178</v>
      </c>
      <c r="Y177" s="1" t="str">
        <f>"414434243"</f>
        <v>414434243</v>
      </c>
    </row>
    <row r="178" spans="1:25" x14ac:dyDescent="0.2">
      <c r="A178" s="9" t="s">
        <v>2018</v>
      </c>
      <c r="B178" s="10">
        <v>42837</v>
      </c>
      <c r="C178" s="9" t="s">
        <v>2019</v>
      </c>
      <c r="D178" s="9" t="s">
        <v>252</v>
      </c>
      <c r="E178" s="9" t="s">
        <v>2190</v>
      </c>
      <c r="F178" s="9">
        <v>20000</v>
      </c>
      <c r="G178" s="8">
        <v>3856</v>
      </c>
      <c r="H178" s="4">
        <f t="shared" si="261"/>
        <v>3856</v>
      </c>
      <c r="I178" s="4">
        <f t="shared" si="262"/>
        <v>0</v>
      </c>
      <c r="J178" s="4">
        <f t="shared" si="263"/>
        <v>0</v>
      </c>
      <c r="K178" s="4">
        <f t="shared" si="264"/>
        <v>0</v>
      </c>
      <c r="L178" s="4">
        <f t="shared" si="265"/>
        <v>0</v>
      </c>
      <c r="M178" s="4">
        <f t="shared" si="266"/>
        <v>0</v>
      </c>
      <c r="N178" s="4">
        <f t="shared" si="267"/>
        <v>0</v>
      </c>
      <c r="O178" s="5">
        <f t="shared" si="268"/>
        <v>18</v>
      </c>
      <c r="P178" s="6" t="str">
        <f t="shared" si="269"/>
        <v>30 Days</v>
      </c>
      <c r="Q178" s="7">
        <v>42855</v>
      </c>
      <c r="R178" s="6" t="str">
        <f>VLOOKUP(A178:A3314,[1]BOM_INV_OPERATOR_DETAILS_OUTPUT!$A$2:$D$1233,4,FALSE)</f>
        <v>AI</v>
      </c>
      <c r="Y178" s="1" t="str">
        <f>"4030303913"</f>
        <v>4030303913</v>
      </c>
    </row>
    <row r="179" spans="1:25" x14ac:dyDescent="0.2">
      <c r="A179" s="9" t="s">
        <v>951</v>
      </c>
      <c r="B179" s="10">
        <v>42803</v>
      </c>
      <c r="C179" s="9" t="s">
        <v>952</v>
      </c>
      <c r="D179" s="9" t="s">
        <v>252</v>
      </c>
      <c r="E179" s="9" t="s">
        <v>2190</v>
      </c>
      <c r="F179" s="9">
        <v>20000</v>
      </c>
      <c r="G179" s="8">
        <v>3950</v>
      </c>
      <c r="H179" s="4">
        <f t="shared" ref="H179:H185" si="270">IF(O179&lt;=30,G179,0)</f>
        <v>0</v>
      </c>
      <c r="I179" s="4">
        <f t="shared" ref="I179:I185" si="271">IF(AND(O179&gt;30,O179&lt;=45),G179,0)</f>
        <v>0</v>
      </c>
      <c r="J179" s="4">
        <f t="shared" ref="J179:J185" si="272">IF(AND(O179&gt;45,O179&lt;=60),G179,0)</f>
        <v>3950</v>
      </c>
      <c r="K179" s="4">
        <f t="shared" ref="K179:K185" si="273">IF(AND(O179&gt;60,O179&lt;=90),G179,0)</f>
        <v>0</v>
      </c>
      <c r="L179" s="4">
        <f t="shared" ref="L179:L185" si="274">IF(AND(O179&gt;90,O179&lt;=120),G179,0)</f>
        <v>0</v>
      </c>
      <c r="M179" s="4">
        <f t="shared" ref="M179:M185" si="275">IF(O179&gt;120,G179,0)</f>
        <v>0</v>
      </c>
      <c r="N179" s="4">
        <f t="shared" ref="N179:N185" si="276">IF(O179&gt;60,G179,0)</f>
        <v>0</v>
      </c>
      <c r="O179" s="5">
        <f t="shared" ref="O179:O185" si="277">Q179-B179</f>
        <v>52</v>
      </c>
      <c r="P179" s="6" t="str">
        <f t="shared" ref="P179:P185" si="278">IF(AND(O179&lt;=30),"30 Days",IF(AND(O179&gt;30,O179&lt;=45),"31 TO 45 Days",IF(AND(O179&gt;45,O179&lt;=60),"46 To 60 Days",IF(AND(O179&gt;60,O179&lt;=90),"61 To 90 Days",IF(AND(O179&gt;90,O179&lt;=120),"91 To 120 Days",IF(AND(O179&gt;120),"Plus120Days",))))))</f>
        <v>46 To 60 Days</v>
      </c>
      <c r="Q179" s="7">
        <v>42855</v>
      </c>
      <c r="R179" s="6" t="s">
        <v>2178</v>
      </c>
      <c r="Y179" s="1" t="str">
        <f>"4030307758"</f>
        <v>4030307758</v>
      </c>
    </row>
    <row r="180" spans="1:25" x14ac:dyDescent="0.2">
      <c r="A180" s="9" t="s">
        <v>1366</v>
      </c>
      <c r="B180" s="10">
        <v>42822</v>
      </c>
      <c r="C180" s="9" t="s">
        <v>1367</v>
      </c>
      <c r="D180" s="9" t="s">
        <v>27</v>
      </c>
      <c r="E180" s="9" t="s">
        <v>2190</v>
      </c>
      <c r="F180" s="9">
        <v>480000</v>
      </c>
      <c r="G180" s="8">
        <v>3964</v>
      </c>
      <c r="H180" s="4">
        <f t="shared" si="270"/>
        <v>0</v>
      </c>
      <c r="I180" s="4">
        <f t="shared" si="271"/>
        <v>3964</v>
      </c>
      <c r="J180" s="4">
        <f t="shared" si="272"/>
        <v>0</v>
      </c>
      <c r="K180" s="4">
        <f t="shared" si="273"/>
        <v>0</v>
      </c>
      <c r="L180" s="4">
        <f t="shared" si="274"/>
        <v>0</v>
      </c>
      <c r="M180" s="4">
        <f t="shared" si="275"/>
        <v>0</v>
      </c>
      <c r="N180" s="4">
        <f t="shared" si="276"/>
        <v>0</v>
      </c>
      <c r="O180" s="5">
        <f t="shared" si="277"/>
        <v>33</v>
      </c>
      <c r="P180" s="6" t="str">
        <f t="shared" si="278"/>
        <v>31 TO 45 Days</v>
      </c>
      <c r="Q180" s="7">
        <v>42855</v>
      </c>
      <c r="R180" s="6" t="s">
        <v>2178</v>
      </c>
      <c r="Y180" s="1" t="str">
        <f>"4170205082"</f>
        <v>4170205082</v>
      </c>
    </row>
    <row r="181" spans="1:25" x14ac:dyDescent="0.2">
      <c r="A181" s="9" t="s">
        <v>436</v>
      </c>
      <c r="B181" s="10">
        <v>42766</v>
      </c>
      <c r="C181" s="9" t="s">
        <v>437</v>
      </c>
      <c r="D181" s="9" t="s">
        <v>161</v>
      </c>
      <c r="E181" s="9" t="s">
        <v>2190</v>
      </c>
      <c r="F181" s="9">
        <v>0</v>
      </c>
      <c r="G181" s="8">
        <v>4001</v>
      </c>
      <c r="H181" s="4">
        <f t="shared" si="270"/>
        <v>0</v>
      </c>
      <c r="I181" s="4">
        <f t="shared" si="271"/>
        <v>0</v>
      </c>
      <c r="J181" s="4">
        <f t="shared" si="272"/>
        <v>0</v>
      </c>
      <c r="K181" s="4">
        <f t="shared" si="273"/>
        <v>4001</v>
      </c>
      <c r="L181" s="4">
        <f t="shared" si="274"/>
        <v>0</v>
      </c>
      <c r="M181" s="4">
        <f t="shared" si="275"/>
        <v>0</v>
      </c>
      <c r="N181" s="4">
        <f t="shared" si="276"/>
        <v>4001</v>
      </c>
      <c r="O181" s="5">
        <f t="shared" si="277"/>
        <v>89</v>
      </c>
      <c r="P181" s="6" t="str">
        <f t="shared" si="278"/>
        <v>61 To 90 Days</v>
      </c>
      <c r="Q181" s="7">
        <v>42855</v>
      </c>
      <c r="R181" s="6" t="s">
        <v>2178</v>
      </c>
      <c r="Y181" s="1" t="str">
        <f>"4711226053"</f>
        <v>4711226053</v>
      </c>
    </row>
    <row r="182" spans="1:25" x14ac:dyDescent="0.2">
      <c r="A182" s="9" t="s">
        <v>502</v>
      </c>
      <c r="B182" s="10">
        <v>42774</v>
      </c>
      <c r="C182" s="9" t="s">
        <v>503</v>
      </c>
      <c r="D182" s="9" t="s">
        <v>270</v>
      </c>
      <c r="E182" s="9" t="s">
        <v>2190</v>
      </c>
      <c r="F182" s="9">
        <v>0</v>
      </c>
      <c r="G182" s="8">
        <v>4012</v>
      </c>
      <c r="H182" s="4">
        <f t="shared" si="270"/>
        <v>0</v>
      </c>
      <c r="I182" s="4">
        <f t="shared" si="271"/>
        <v>0</v>
      </c>
      <c r="J182" s="4">
        <f t="shared" si="272"/>
        <v>0</v>
      </c>
      <c r="K182" s="4">
        <f t="shared" si="273"/>
        <v>4012</v>
      </c>
      <c r="L182" s="4">
        <f t="shared" si="274"/>
        <v>0</v>
      </c>
      <c r="M182" s="4">
        <f t="shared" si="275"/>
        <v>0</v>
      </c>
      <c r="N182" s="4">
        <f t="shared" si="276"/>
        <v>4012</v>
      </c>
      <c r="O182" s="5">
        <f t="shared" si="277"/>
        <v>81</v>
      </c>
      <c r="P182" s="6" t="str">
        <f t="shared" si="278"/>
        <v>61 To 90 Days</v>
      </c>
      <c r="Q182" s="7">
        <v>42855</v>
      </c>
      <c r="R182" s="6" t="s">
        <v>2178</v>
      </c>
      <c r="Y182" s="1" t="str">
        <f>"4570268003"</f>
        <v>4570268003</v>
      </c>
    </row>
    <row r="183" spans="1:25" x14ac:dyDescent="0.2">
      <c r="A183" s="9" t="s">
        <v>337</v>
      </c>
      <c r="B183" s="10">
        <v>42753</v>
      </c>
      <c r="C183" s="9" t="s">
        <v>338</v>
      </c>
      <c r="D183" s="9" t="s">
        <v>336</v>
      </c>
      <c r="E183" s="9" t="s">
        <v>2190</v>
      </c>
      <c r="F183" s="9">
        <v>0</v>
      </c>
      <c r="G183" s="8">
        <v>4054</v>
      </c>
      <c r="H183" s="4">
        <f t="shared" si="270"/>
        <v>0</v>
      </c>
      <c r="I183" s="4">
        <f t="shared" si="271"/>
        <v>0</v>
      </c>
      <c r="J183" s="4">
        <f t="shared" si="272"/>
        <v>0</v>
      </c>
      <c r="K183" s="4">
        <f t="shared" si="273"/>
        <v>0</v>
      </c>
      <c r="L183" s="4">
        <f t="shared" si="274"/>
        <v>4054</v>
      </c>
      <c r="M183" s="4">
        <f t="shared" si="275"/>
        <v>0</v>
      </c>
      <c r="N183" s="4">
        <f t="shared" si="276"/>
        <v>4054</v>
      </c>
      <c r="O183" s="5">
        <f t="shared" si="277"/>
        <v>102</v>
      </c>
      <c r="P183" s="6" t="str">
        <f t="shared" si="278"/>
        <v>91 To 120 Days</v>
      </c>
      <c r="Q183" s="7">
        <v>42855</v>
      </c>
      <c r="R183" s="6" t="s">
        <v>2178</v>
      </c>
      <c r="Y183" s="1" t="str">
        <f>"3520019568"</f>
        <v>3520019568</v>
      </c>
    </row>
    <row r="184" spans="1:25" x14ac:dyDescent="0.2">
      <c r="A184" s="9" t="s">
        <v>1065</v>
      </c>
      <c r="B184" s="10">
        <v>42812</v>
      </c>
      <c r="C184" s="9" t="s">
        <v>1066</v>
      </c>
      <c r="D184" s="9" t="s">
        <v>162</v>
      </c>
      <c r="E184" s="9" t="s">
        <v>2190</v>
      </c>
      <c r="F184" s="9">
        <v>300000</v>
      </c>
      <c r="G184" s="8">
        <v>4069</v>
      </c>
      <c r="H184" s="4">
        <f t="shared" si="270"/>
        <v>0</v>
      </c>
      <c r="I184" s="4">
        <f t="shared" si="271"/>
        <v>4069</v>
      </c>
      <c r="J184" s="4">
        <f t="shared" si="272"/>
        <v>0</v>
      </c>
      <c r="K184" s="4">
        <f t="shared" si="273"/>
        <v>0</v>
      </c>
      <c r="L184" s="4">
        <f t="shared" si="274"/>
        <v>0</v>
      </c>
      <c r="M184" s="4">
        <f t="shared" si="275"/>
        <v>0</v>
      </c>
      <c r="N184" s="4">
        <f t="shared" si="276"/>
        <v>0</v>
      </c>
      <c r="O184" s="5">
        <f t="shared" si="277"/>
        <v>43</v>
      </c>
      <c r="P184" s="6" t="str">
        <f t="shared" si="278"/>
        <v>31 TO 45 Days</v>
      </c>
      <c r="Q184" s="7">
        <v>42855</v>
      </c>
      <c r="R184" s="6" t="s">
        <v>2178</v>
      </c>
      <c r="Y184" s="1" t="str">
        <f>"416619039"</f>
        <v>416619039</v>
      </c>
    </row>
    <row r="185" spans="1:25" x14ac:dyDescent="0.2">
      <c r="A185" s="9" t="s">
        <v>349</v>
      </c>
      <c r="B185" s="10">
        <v>42753</v>
      </c>
      <c r="C185" s="9" t="s">
        <v>350</v>
      </c>
      <c r="D185" s="9" t="s">
        <v>161</v>
      </c>
      <c r="E185" s="9" t="s">
        <v>2190</v>
      </c>
      <c r="F185" s="9">
        <v>0</v>
      </c>
      <c r="G185" s="8">
        <v>4073</v>
      </c>
      <c r="H185" s="4">
        <f t="shared" si="270"/>
        <v>0</v>
      </c>
      <c r="I185" s="4">
        <f t="shared" si="271"/>
        <v>0</v>
      </c>
      <c r="J185" s="4">
        <f t="shared" si="272"/>
        <v>0</v>
      </c>
      <c r="K185" s="4">
        <f t="shared" si="273"/>
        <v>0</v>
      </c>
      <c r="L185" s="4">
        <f t="shared" si="274"/>
        <v>4073</v>
      </c>
      <c r="M185" s="4">
        <f t="shared" si="275"/>
        <v>0</v>
      </c>
      <c r="N185" s="4">
        <f t="shared" si="276"/>
        <v>4073</v>
      </c>
      <c r="O185" s="5">
        <f t="shared" si="277"/>
        <v>102</v>
      </c>
      <c r="P185" s="6" t="str">
        <f t="shared" si="278"/>
        <v>91 To 120 Days</v>
      </c>
      <c r="Q185" s="7">
        <v>42855</v>
      </c>
      <c r="R185" s="6" t="s">
        <v>2178</v>
      </c>
      <c r="Y185" s="1" t="str">
        <f>"4711222422"</f>
        <v>4711222422</v>
      </c>
    </row>
    <row r="186" spans="1:25" x14ac:dyDescent="0.2">
      <c r="A186" s="9" t="s">
        <v>1233</v>
      </c>
      <c r="B186" s="10">
        <v>42816</v>
      </c>
      <c r="C186" s="9" t="s">
        <v>1234</v>
      </c>
      <c r="D186" s="9" t="s">
        <v>252</v>
      </c>
      <c r="E186" s="9" t="s">
        <v>2190</v>
      </c>
      <c r="F186" s="9">
        <v>20000</v>
      </c>
      <c r="G186" s="8">
        <v>4084</v>
      </c>
      <c r="H186" s="4">
        <f t="shared" ref="H186:H196" si="279">IF(O186&lt;=30,G186,0)</f>
        <v>0</v>
      </c>
      <c r="I186" s="4">
        <f t="shared" ref="I186:I196" si="280">IF(AND(O186&gt;30,O186&lt;=45),G186,0)</f>
        <v>4084</v>
      </c>
      <c r="J186" s="4">
        <f t="shared" ref="J186:J196" si="281">IF(AND(O186&gt;45,O186&lt;=60),G186,0)</f>
        <v>0</v>
      </c>
      <c r="K186" s="4">
        <f t="shared" ref="K186:K196" si="282">IF(AND(O186&gt;60,O186&lt;=90),G186,0)</f>
        <v>0</v>
      </c>
      <c r="L186" s="4">
        <f t="shared" ref="L186:L196" si="283">IF(AND(O186&gt;90,O186&lt;=120),G186,0)</f>
        <v>0</v>
      </c>
      <c r="M186" s="4">
        <f t="shared" ref="M186:M196" si="284">IF(O186&gt;120,G186,0)</f>
        <v>0</v>
      </c>
      <c r="N186" s="4">
        <f t="shared" ref="N186:N196" si="285">IF(O186&gt;60,G186,0)</f>
        <v>0</v>
      </c>
      <c r="O186" s="5">
        <f t="shared" ref="O186:O196" si="286">Q186-B186</f>
        <v>39</v>
      </c>
      <c r="P186" s="6" t="str">
        <f t="shared" ref="P186:P196" si="287">IF(AND(O186&lt;=30),"30 Days",IF(AND(O186&gt;30,O186&lt;=45),"31 TO 45 Days",IF(AND(O186&gt;45,O186&lt;=60),"46 To 60 Days",IF(AND(O186&gt;60,O186&lt;=90),"61 To 90 Days",IF(AND(O186&gt;90,O186&lt;=120),"91 To 120 Days",IF(AND(O186&gt;120),"Plus120Days",))))))</f>
        <v>31 TO 45 Days</v>
      </c>
      <c r="Q186" s="7">
        <v>42855</v>
      </c>
      <c r="R186" s="6" t="s">
        <v>2178</v>
      </c>
      <c r="Y186" s="1" t="str">
        <f>"4030303802"</f>
        <v>4030303802</v>
      </c>
    </row>
    <row r="187" spans="1:25" x14ac:dyDescent="0.2">
      <c r="A187" s="9" t="s">
        <v>514</v>
      </c>
      <c r="B187" s="10">
        <v>42774</v>
      </c>
      <c r="C187" s="9" t="s">
        <v>515</v>
      </c>
      <c r="D187" s="9" t="s">
        <v>270</v>
      </c>
      <c r="E187" s="9" t="s">
        <v>2190</v>
      </c>
      <c r="F187" s="9">
        <v>0</v>
      </c>
      <c r="G187" s="8">
        <v>4105</v>
      </c>
      <c r="H187" s="4">
        <f t="shared" si="279"/>
        <v>0</v>
      </c>
      <c r="I187" s="4">
        <f t="shared" si="280"/>
        <v>0</v>
      </c>
      <c r="J187" s="4">
        <f t="shared" si="281"/>
        <v>0</v>
      </c>
      <c r="K187" s="4">
        <f t="shared" si="282"/>
        <v>4105</v>
      </c>
      <c r="L187" s="4">
        <f t="shared" si="283"/>
        <v>0</v>
      </c>
      <c r="M187" s="4">
        <f t="shared" si="284"/>
        <v>0</v>
      </c>
      <c r="N187" s="4">
        <f t="shared" si="285"/>
        <v>4105</v>
      </c>
      <c r="O187" s="5">
        <f t="shared" si="286"/>
        <v>81</v>
      </c>
      <c r="P187" s="6" t="str">
        <f t="shared" si="287"/>
        <v>61 To 90 Days</v>
      </c>
      <c r="Q187" s="7">
        <v>42855</v>
      </c>
      <c r="R187" s="6" t="s">
        <v>2178</v>
      </c>
      <c r="Y187" s="1" t="str">
        <f>"4570268202"</f>
        <v>4570268202</v>
      </c>
    </row>
    <row r="188" spans="1:25" x14ac:dyDescent="0.2">
      <c r="A188" s="9" t="s">
        <v>929</v>
      </c>
      <c r="B188" s="10">
        <v>42802</v>
      </c>
      <c r="C188" s="9" t="s">
        <v>930</v>
      </c>
      <c r="D188" s="9" t="s">
        <v>161</v>
      </c>
      <c r="E188" s="9" t="s">
        <v>2190</v>
      </c>
      <c r="F188" s="9">
        <v>0</v>
      </c>
      <c r="G188" s="8">
        <v>4110</v>
      </c>
      <c r="H188" s="4">
        <f t="shared" si="279"/>
        <v>0</v>
      </c>
      <c r="I188" s="4">
        <f t="shared" si="280"/>
        <v>0</v>
      </c>
      <c r="J188" s="4">
        <f t="shared" si="281"/>
        <v>4110</v>
      </c>
      <c r="K188" s="4">
        <f t="shared" si="282"/>
        <v>0</v>
      </c>
      <c r="L188" s="4">
        <f t="shared" si="283"/>
        <v>0</v>
      </c>
      <c r="M188" s="4">
        <f t="shared" si="284"/>
        <v>0</v>
      </c>
      <c r="N188" s="4">
        <f t="shared" si="285"/>
        <v>0</v>
      </c>
      <c r="O188" s="5">
        <f t="shared" si="286"/>
        <v>53</v>
      </c>
      <c r="P188" s="6" t="str">
        <f t="shared" si="287"/>
        <v>46 To 60 Days</v>
      </c>
      <c r="Q188" s="7">
        <v>42855</v>
      </c>
      <c r="R188" s="6" t="s">
        <v>2178</v>
      </c>
      <c r="Y188" s="1" t="str">
        <f>"4711233601"</f>
        <v>4711233601</v>
      </c>
    </row>
    <row r="189" spans="1:25" x14ac:dyDescent="0.2">
      <c r="A189" s="9" t="s">
        <v>1239</v>
      </c>
      <c r="B189" s="10">
        <v>42816</v>
      </c>
      <c r="C189" s="9" t="s">
        <v>1240</v>
      </c>
      <c r="D189" s="9" t="s">
        <v>270</v>
      </c>
      <c r="E189" s="9" t="s">
        <v>2190</v>
      </c>
      <c r="F189" s="9">
        <v>0</v>
      </c>
      <c r="G189" s="8">
        <v>4139</v>
      </c>
      <c r="H189" s="4">
        <f t="shared" si="279"/>
        <v>0</v>
      </c>
      <c r="I189" s="4">
        <f t="shared" si="280"/>
        <v>4139</v>
      </c>
      <c r="J189" s="4">
        <f t="shared" si="281"/>
        <v>0</v>
      </c>
      <c r="K189" s="4">
        <f t="shared" si="282"/>
        <v>0</v>
      </c>
      <c r="L189" s="4">
        <f t="shared" si="283"/>
        <v>0</v>
      </c>
      <c r="M189" s="4">
        <f t="shared" si="284"/>
        <v>0</v>
      </c>
      <c r="N189" s="4">
        <f t="shared" si="285"/>
        <v>0</v>
      </c>
      <c r="O189" s="5">
        <f t="shared" si="286"/>
        <v>39</v>
      </c>
      <c r="P189" s="6" t="str">
        <f t="shared" si="287"/>
        <v>31 TO 45 Days</v>
      </c>
      <c r="Q189" s="7">
        <v>42855</v>
      </c>
      <c r="R189" s="6" t="s">
        <v>2178</v>
      </c>
      <c r="Y189" s="1" t="str">
        <f>"4570269863"</f>
        <v>4570269863</v>
      </c>
    </row>
    <row r="190" spans="1:25" x14ac:dyDescent="0.2">
      <c r="A190" s="9" t="s">
        <v>1757</v>
      </c>
      <c r="B190" s="10">
        <v>42831</v>
      </c>
      <c r="C190" s="9" t="s">
        <v>1758</v>
      </c>
      <c r="D190" s="9" t="s">
        <v>1756</v>
      </c>
      <c r="E190" s="9" t="s">
        <v>2190</v>
      </c>
      <c r="F190" s="9">
        <v>0</v>
      </c>
      <c r="G190" s="8">
        <v>4140</v>
      </c>
      <c r="H190" s="4">
        <f t="shared" si="279"/>
        <v>4140</v>
      </c>
      <c r="I190" s="4">
        <f t="shared" si="280"/>
        <v>0</v>
      </c>
      <c r="J190" s="4">
        <f t="shared" si="281"/>
        <v>0</v>
      </c>
      <c r="K190" s="4">
        <f t="shared" si="282"/>
        <v>0</v>
      </c>
      <c r="L190" s="4">
        <f t="shared" si="283"/>
        <v>0</v>
      </c>
      <c r="M190" s="4">
        <f t="shared" si="284"/>
        <v>0</v>
      </c>
      <c r="N190" s="4">
        <f t="shared" si="285"/>
        <v>0</v>
      </c>
      <c r="O190" s="5">
        <f t="shared" si="286"/>
        <v>24</v>
      </c>
      <c r="P190" s="6" t="str">
        <f t="shared" si="287"/>
        <v>30 Days</v>
      </c>
      <c r="Q190" s="7">
        <v>42855</v>
      </c>
      <c r="R190" s="6" t="s">
        <v>2178</v>
      </c>
      <c r="Y190" s="1" t="str">
        <f>"4921041360"</f>
        <v>4921041360</v>
      </c>
    </row>
    <row r="191" spans="1:25" x14ac:dyDescent="0.2">
      <c r="A191" s="9" t="s">
        <v>1694</v>
      </c>
      <c r="B191" s="10">
        <v>42830</v>
      </c>
      <c r="C191" s="9" t="s">
        <v>1695</v>
      </c>
      <c r="D191" s="9" t="s">
        <v>162</v>
      </c>
      <c r="E191" s="9" t="s">
        <v>2190</v>
      </c>
      <c r="F191" s="9">
        <v>300000</v>
      </c>
      <c r="G191" s="8">
        <v>4143</v>
      </c>
      <c r="H191" s="4">
        <f t="shared" si="279"/>
        <v>4143</v>
      </c>
      <c r="I191" s="4">
        <f t="shared" si="280"/>
        <v>0</v>
      </c>
      <c r="J191" s="4">
        <f t="shared" si="281"/>
        <v>0</v>
      </c>
      <c r="K191" s="4">
        <f t="shared" si="282"/>
        <v>0</v>
      </c>
      <c r="L191" s="4">
        <f t="shared" si="283"/>
        <v>0</v>
      </c>
      <c r="M191" s="4">
        <f t="shared" si="284"/>
        <v>0</v>
      </c>
      <c r="N191" s="4">
        <f t="shared" si="285"/>
        <v>0</v>
      </c>
      <c r="O191" s="5">
        <f t="shared" si="286"/>
        <v>25</v>
      </c>
      <c r="P191" s="6" t="str">
        <f t="shared" si="287"/>
        <v>30 Days</v>
      </c>
      <c r="Q191" s="7">
        <v>42855</v>
      </c>
      <c r="R191" s="6" t="s">
        <v>2178</v>
      </c>
      <c r="Y191" s="1" t="str">
        <f>"416619242"</f>
        <v>416619242</v>
      </c>
    </row>
    <row r="192" spans="1:25" x14ac:dyDescent="0.2">
      <c r="A192" s="9" t="s">
        <v>1825</v>
      </c>
      <c r="B192" s="10">
        <v>42835</v>
      </c>
      <c r="C192" s="9" t="s">
        <v>1826</v>
      </c>
      <c r="D192" s="9" t="s">
        <v>1824</v>
      </c>
      <c r="E192" s="9" t="s">
        <v>2190</v>
      </c>
      <c r="F192" s="9">
        <v>0</v>
      </c>
      <c r="G192" s="8">
        <v>4156</v>
      </c>
      <c r="H192" s="4">
        <f t="shared" si="279"/>
        <v>4156</v>
      </c>
      <c r="I192" s="4">
        <f t="shared" si="280"/>
        <v>0</v>
      </c>
      <c r="J192" s="4">
        <f t="shared" si="281"/>
        <v>0</v>
      </c>
      <c r="K192" s="4">
        <f t="shared" si="282"/>
        <v>0</v>
      </c>
      <c r="L192" s="4">
        <f t="shared" si="283"/>
        <v>0</v>
      </c>
      <c r="M192" s="4">
        <f t="shared" si="284"/>
        <v>0</v>
      </c>
      <c r="N192" s="4">
        <f t="shared" si="285"/>
        <v>0</v>
      </c>
      <c r="O192" s="5">
        <f t="shared" si="286"/>
        <v>20</v>
      </c>
      <c r="P192" s="6" t="str">
        <f t="shared" si="287"/>
        <v>30 Days</v>
      </c>
      <c r="Q192" s="7">
        <v>42855</v>
      </c>
      <c r="R192" s="6" t="str">
        <f>VLOOKUP(A192:A3751,[1]BOM_INV_OPERATOR_DETAILS_OUTPUT!$A$2:$D$1233,4,FALSE)</f>
        <v>AI</v>
      </c>
      <c r="Y192" s="1" t="str">
        <f>"4921041496"</f>
        <v>4921041496</v>
      </c>
    </row>
    <row r="193" spans="1:25" x14ac:dyDescent="0.2">
      <c r="A193" s="9" t="s">
        <v>271</v>
      </c>
      <c r="B193" s="10">
        <v>42744</v>
      </c>
      <c r="C193" s="9" t="s">
        <v>272</v>
      </c>
      <c r="D193" s="9" t="s">
        <v>270</v>
      </c>
      <c r="E193" s="9" t="s">
        <v>2190</v>
      </c>
      <c r="F193" s="9">
        <v>0</v>
      </c>
      <c r="G193" s="8">
        <v>4222</v>
      </c>
      <c r="H193" s="4">
        <f t="shared" si="279"/>
        <v>0</v>
      </c>
      <c r="I193" s="4">
        <f t="shared" si="280"/>
        <v>0</v>
      </c>
      <c r="J193" s="4">
        <f t="shared" si="281"/>
        <v>0</v>
      </c>
      <c r="K193" s="4">
        <f t="shared" si="282"/>
        <v>0</v>
      </c>
      <c r="L193" s="4">
        <f t="shared" si="283"/>
        <v>4222</v>
      </c>
      <c r="M193" s="4">
        <f t="shared" si="284"/>
        <v>0</v>
      </c>
      <c r="N193" s="4">
        <f t="shared" si="285"/>
        <v>4222</v>
      </c>
      <c r="O193" s="5">
        <f t="shared" si="286"/>
        <v>111</v>
      </c>
      <c r="P193" s="6" t="str">
        <f t="shared" si="287"/>
        <v>91 To 120 Days</v>
      </c>
      <c r="Q193" s="7">
        <v>42855</v>
      </c>
      <c r="R193" s="6" t="s">
        <v>2178</v>
      </c>
      <c r="Y193" s="1" t="str">
        <f>"4570266888"</f>
        <v>4570266888</v>
      </c>
    </row>
    <row r="194" spans="1:25" x14ac:dyDescent="0.2">
      <c r="A194" s="9" t="s">
        <v>551</v>
      </c>
      <c r="B194" s="10">
        <v>42779</v>
      </c>
      <c r="C194" s="9" t="s">
        <v>552</v>
      </c>
      <c r="D194" s="9" t="s">
        <v>270</v>
      </c>
      <c r="E194" s="9" t="s">
        <v>2190</v>
      </c>
      <c r="F194" s="9">
        <v>0</v>
      </c>
      <c r="G194" s="8">
        <v>4223</v>
      </c>
      <c r="H194" s="4">
        <f t="shared" si="279"/>
        <v>0</v>
      </c>
      <c r="I194" s="4">
        <f t="shared" si="280"/>
        <v>0</v>
      </c>
      <c r="J194" s="4">
        <f t="shared" si="281"/>
        <v>0</v>
      </c>
      <c r="K194" s="4">
        <f t="shared" si="282"/>
        <v>4223</v>
      </c>
      <c r="L194" s="4">
        <f t="shared" si="283"/>
        <v>0</v>
      </c>
      <c r="M194" s="4">
        <f t="shared" si="284"/>
        <v>0</v>
      </c>
      <c r="N194" s="4">
        <f t="shared" si="285"/>
        <v>4223</v>
      </c>
      <c r="O194" s="5">
        <f t="shared" si="286"/>
        <v>76</v>
      </c>
      <c r="P194" s="6" t="str">
        <f t="shared" si="287"/>
        <v>61 To 90 Days</v>
      </c>
      <c r="Q194" s="7">
        <v>42855</v>
      </c>
      <c r="R194" s="6" t="s">
        <v>2178</v>
      </c>
      <c r="Y194" s="1" t="str">
        <f>"4570268472"</f>
        <v>4570268472</v>
      </c>
    </row>
    <row r="195" spans="1:25" x14ac:dyDescent="0.2">
      <c r="A195" s="9" t="s">
        <v>553</v>
      </c>
      <c r="B195" s="10">
        <v>42779</v>
      </c>
      <c r="C195" s="9" t="s">
        <v>554</v>
      </c>
      <c r="D195" s="9" t="s">
        <v>270</v>
      </c>
      <c r="E195" s="9" t="s">
        <v>2190</v>
      </c>
      <c r="F195" s="9">
        <v>0</v>
      </c>
      <c r="G195" s="8">
        <v>4223</v>
      </c>
      <c r="H195" s="4">
        <f t="shared" si="279"/>
        <v>0</v>
      </c>
      <c r="I195" s="4">
        <f t="shared" si="280"/>
        <v>0</v>
      </c>
      <c r="J195" s="4">
        <f t="shared" si="281"/>
        <v>0</v>
      </c>
      <c r="K195" s="4">
        <f t="shared" si="282"/>
        <v>4223</v>
      </c>
      <c r="L195" s="4">
        <f t="shared" si="283"/>
        <v>0</v>
      </c>
      <c r="M195" s="4">
        <f t="shared" si="284"/>
        <v>0</v>
      </c>
      <c r="N195" s="4">
        <f t="shared" si="285"/>
        <v>4223</v>
      </c>
      <c r="O195" s="5">
        <f t="shared" si="286"/>
        <v>76</v>
      </c>
      <c r="P195" s="6" t="str">
        <f t="shared" si="287"/>
        <v>61 To 90 Days</v>
      </c>
      <c r="Q195" s="7">
        <v>42855</v>
      </c>
      <c r="R195" s="6" t="s">
        <v>2178</v>
      </c>
      <c r="Y195" s="1" t="str">
        <f>"4570268473"</f>
        <v>4570268473</v>
      </c>
    </row>
    <row r="196" spans="1:25" x14ac:dyDescent="0.2">
      <c r="A196" s="9" t="s">
        <v>447</v>
      </c>
      <c r="B196" s="10">
        <v>42768</v>
      </c>
      <c r="C196" s="9" t="s">
        <v>419</v>
      </c>
      <c r="D196" s="9" t="s">
        <v>418</v>
      </c>
      <c r="E196" s="9" t="s">
        <v>2190</v>
      </c>
      <c r="F196" s="9">
        <v>500000</v>
      </c>
      <c r="G196" s="8">
        <v>4230</v>
      </c>
      <c r="H196" s="4">
        <f t="shared" si="279"/>
        <v>0</v>
      </c>
      <c r="I196" s="4">
        <f t="shared" si="280"/>
        <v>0</v>
      </c>
      <c r="J196" s="4">
        <f t="shared" si="281"/>
        <v>0</v>
      </c>
      <c r="K196" s="4">
        <f t="shared" si="282"/>
        <v>4230</v>
      </c>
      <c r="L196" s="4">
        <f t="shared" si="283"/>
        <v>0</v>
      </c>
      <c r="M196" s="4">
        <f t="shared" si="284"/>
        <v>0</v>
      </c>
      <c r="N196" s="4">
        <f t="shared" si="285"/>
        <v>4230</v>
      </c>
      <c r="O196" s="5">
        <f t="shared" si="286"/>
        <v>87</v>
      </c>
      <c r="P196" s="6" t="str">
        <f t="shared" si="287"/>
        <v>61 To 90 Days</v>
      </c>
      <c r="Q196" s="7">
        <v>42855</v>
      </c>
      <c r="R196" s="6" t="str">
        <f>VLOOKUP(A196:A3777,[1]BOM_INV_OPERATOR_DETAILS_OUTPUT!$A$2:$D$1233,4,FALSE)</f>
        <v>AI</v>
      </c>
      <c r="Y196" s="1" t="str">
        <f>"4431566597"</f>
        <v>4431566597</v>
      </c>
    </row>
    <row r="197" spans="1:25" x14ac:dyDescent="0.2">
      <c r="A197" s="9" t="s">
        <v>1296</v>
      </c>
      <c r="B197" s="10">
        <v>42818</v>
      </c>
      <c r="C197" s="9" t="s">
        <v>1297</v>
      </c>
      <c r="D197" s="9" t="s">
        <v>161</v>
      </c>
      <c r="E197" s="9" t="s">
        <v>2190</v>
      </c>
      <c r="F197" s="9">
        <v>0</v>
      </c>
      <c r="G197" s="8">
        <v>4314</v>
      </c>
      <c r="H197" s="4">
        <f t="shared" ref="H197:H199" si="288">IF(O197&lt;=30,G197,0)</f>
        <v>0</v>
      </c>
      <c r="I197" s="4">
        <f t="shared" ref="I197:I199" si="289">IF(AND(O197&gt;30,O197&lt;=45),G197,0)</f>
        <v>4314</v>
      </c>
      <c r="J197" s="4">
        <f t="shared" ref="J197:J199" si="290">IF(AND(O197&gt;45,O197&lt;=60),G197,0)</f>
        <v>0</v>
      </c>
      <c r="K197" s="4">
        <f t="shared" ref="K197:K199" si="291">IF(AND(O197&gt;60,O197&lt;=90),G197,0)</f>
        <v>0</v>
      </c>
      <c r="L197" s="4">
        <f t="shared" ref="L197:L199" si="292">IF(AND(O197&gt;90,O197&lt;=120),G197,0)</f>
        <v>0</v>
      </c>
      <c r="M197" s="4">
        <f t="shared" ref="M197:M199" si="293">IF(O197&gt;120,G197,0)</f>
        <v>0</v>
      </c>
      <c r="N197" s="4">
        <f t="shared" ref="N197:N199" si="294">IF(O197&gt;60,G197,0)</f>
        <v>0</v>
      </c>
      <c r="O197" s="5">
        <f t="shared" ref="O197:O199" si="295">Q197-B197</f>
        <v>37</v>
      </c>
      <c r="P197" s="6" t="str">
        <f t="shared" ref="P197:P199" si="296">IF(AND(O197&lt;=30),"30 Days",IF(AND(O197&gt;30,O197&lt;=45),"31 TO 45 Days",IF(AND(O197&gt;45,O197&lt;=60),"46 To 60 Days",IF(AND(O197&gt;60,O197&lt;=90),"61 To 90 Days",IF(AND(O197&gt;90,O197&lt;=120),"91 To 120 Days",IF(AND(O197&gt;120),"Plus120Days",))))))</f>
        <v>31 TO 45 Days</v>
      </c>
      <c r="Q197" s="7">
        <v>42855</v>
      </c>
      <c r="R197" s="6" t="s">
        <v>2178</v>
      </c>
      <c r="Y197" s="1" t="str">
        <f>"4711236696"</f>
        <v>4711236696</v>
      </c>
    </row>
    <row r="198" spans="1:25" x14ac:dyDescent="0.2">
      <c r="A198" s="9" t="s">
        <v>688</v>
      </c>
      <c r="B198" s="10">
        <v>42790</v>
      </c>
      <c r="C198" s="9" t="s">
        <v>689</v>
      </c>
      <c r="D198" s="9" t="s">
        <v>270</v>
      </c>
      <c r="E198" s="9" t="s">
        <v>2190</v>
      </c>
      <c r="F198" s="9">
        <v>0</v>
      </c>
      <c r="G198" s="8">
        <v>4316</v>
      </c>
      <c r="H198" s="4">
        <f t="shared" si="288"/>
        <v>0</v>
      </c>
      <c r="I198" s="4">
        <f t="shared" si="289"/>
        <v>0</v>
      </c>
      <c r="J198" s="4">
        <f t="shared" si="290"/>
        <v>0</v>
      </c>
      <c r="K198" s="4">
        <f t="shared" si="291"/>
        <v>4316</v>
      </c>
      <c r="L198" s="4">
        <f t="shared" si="292"/>
        <v>0</v>
      </c>
      <c r="M198" s="4">
        <f t="shared" si="293"/>
        <v>0</v>
      </c>
      <c r="N198" s="4">
        <f t="shared" si="294"/>
        <v>4316</v>
      </c>
      <c r="O198" s="5">
        <f t="shared" si="295"/>
        <v>65</v>
      </c>
      <c r="P198" s="6" t="str">
        <f t="shared" si="296"/>
        <v>61 To 90 Days</v>
      </c>
      <c r="Q198" s="7">
        <v>42855</v>
      </c>
      <c r="R198" s="6" t="s">
        <v>2178</v>
      </c>
      <c r="Y198" s="1" t="str">
        <f>"4570269152"</f>
        <v>4570269152</v>
      </c>
    </row>
    <row r="199" spans="1:25" x14ac:dyDescent="0.2">
      <c r="A199" s="9" t="s">
        <v>238</v>
      </c>
      <c r="B199" s="10">
        <v>42734</v>
      </c>
      <c r="C199" s="9" t="s">
        <v>239</v>
      </c>
      <c r="D199" s="9" t="s">
        <v>133</v>
      </c>
      <c r="E199" s="9" t="s">
        <v>2190</v>
      </c>
      <c r="F199" s="9">
        <v>20000000</v>
      </c>
      <c r="G199" s="8">
        <v>4322</v>
      </c>
      <c r="H199" s="4">
        <f t="shared" si="288"/>
        <v>0</v>
      </c>
      <c r="I199" s="4">
        <f t="shared" si="289"/>
        <v>0</v>
      </c>
      <c r="J199" s="4">
        <f t="shared" si="290"/>
        <v>0</v>
      </c>
      <c r="K199" s="4">
        <f t="shared" si="291"/>
        <v>0</v>
      </c>
      <c r="L199" s="4">
        <f t="shared" si="292"/>
        <v>0</v>
      </c>
      <c r="M199" s="4">
        <f t="shared" si="293"/>
        <v>4322</v>
      </c>
      <c r="N199" s="4">
        <f t="shared" si="294"/>
        <v>4322</v>
      </c>
      <c r="O199" s="5">
        <f t="shared" si="295"/>
        <v>121</v>
      </c>
      <c r="P199" s="6" t="str">
        <f t="shared" si="296"/>
        <v>Plus120Days</v>
      </c>
      <c r="Q199" s="7">
        <v>42855</v>
      </c>
      <c r="R199" s="6" t="s">
        <v>2178</v>
      </c>
      <c r="V199" s="1" t="s">
        <v>13</v>
      </c>
      <c r="Y199" s="1" t="str">
        <f>"4711218945"</f>
        <v>4711218945</v>
      </c>
    </row>
    <row r="200" spans="1:25" x14ac:dyDescent="0.2">
      <c r="A200" s="9" t="s">
        <v>1463</v>
      </c>
      <c r="B200" s="10">
        <v>42824</v>
      </c>
      <c r="C200" s="9" t="s">
        <v>1464</v>
      </c>
      <c r="D200" s="9" t="s">
        <v>38</v>
      </c>
      <c r="E200" s="9" t="s">
        <v>2190</v>
      </c>
      <c r="F200" s="9">
        <v>700000</v>
      </c>
      <c r="G200" s="8">
        <v>4335</v>
      </c>
      <c r="H200" s="4">
        <f t="shared" ref="H200:H212" si="297">IF(O200&lt;=30,G200,0)</f>
        <v>0</v>
      </c>
      <c r="I200" s="4">
        <f t="shared" ref="I200:I212" si="298">IF(AND(O200&gt;30,O200&lt;=45),G200,0)</f>
        <v>4335</v>
      </c>
      <c r="J200" s="4">
        <f t="shared" ref="J200:J212" si="299">IF(AND(O200&gt;45,O200&lt;=60),G200,0)</f>
        <v>0</v>
      </c>
      <c r="K200" s="4">
        <f t="shared" ref="K200:K212" si="300">IF(AND(O200&gt;60,O200&lt;=90),G200,0)</f>
        <v>0</v>
      </c>
      <c r="L200" s="4">
        <f t="shared" ref="L200:L212" si="301">IF(AND(O200&gt;90,O200&lt;=120),G200,0)</f>
        <v>0</v>
      </c>
      <c r="M200" s="4">
        <f t="shared" ref="M200:M212" si="302">IF(O200&gt;120,G200,0)</f>
        <v>0</v>
      </c>
      <c r="N200" s="4">
        <f t="shared" ref="N200:N212" si="303">IF(O200&gt;60,G200,0)</f>
        <v>0</v>
      </c>
      <c r="O200" s="5">
        <f t="shared" ref="O200:O212" si="304">Q200-B200</f>
        <v>31</v>
      </c>
      <c r="P200" s="6" t="str">
        <f t="shared" ref="P200:P212" si="305">IF(AND(O200&lt;=30),"30 Days",IF(AND(O200&gt;30,O200&lt;=45),"31 TO 45 Days",IF(AND(O200&gt;45,O200&lt;=60),"46 To 60 Days",IF(AND(O200&gt;60,O200&lt;=90),"61 To 90 Days",IF(AND(O200&gt;90,O200&lt;=120),"91 To 120 Days",IF(AND(O200&gt;120),"Plus120Days",))))))</f>
        <v>31 TO 45 Days</v>
      </c>
      <c r="Q200" s="7">
        <v>42855</v>
      </c>
      <c r="R200" s="6" t="s">
        <v>2178</v>
      </c>
      <c r="Y200" s="1" t="str">
        <f>"4540131321"</f>
        <v>4540131321</v>
      </c>
    </row>
    <row r="201" spans="1:25" x14ac:dyDescent="0.2">
      <c r="A201" s="9" t="s">
        <v>933</v>
      </c>
      <c r="B201" s="10">
        <v>42802</v>
      </c>
      <c r="C201" s="9" t="s">
        <v>934</v>
      </c>
      <c r="D201" s="9" t="s">
        <v>161</v>
      </c>
      <c r="E201" s="9" t="s">
        <v>2190</v>
      </c>
      <c r="F201" s="9">
        <v>0</v>
      </c>
      <c r="G201" s="8">
        <v>4347</v>
      </c>
      <c r="H201" s="4">
        <f t="shared" si="297"/>
        <v>0</v>
      </c>
      <c r="I201" s="4">
        <f t="shared" si="298"/>
        <v>0</v>
      </c>
      <c r="J201" s="4">
        <f t="shared" si="299"/>
        <v>4347</v>
      </c>
      <c r="K201" s="4">
        <f t="shared" si="300"/>
        <v>0</v>
      </c>
      <c r="L201" s="4">
        <f t="shared" si="301"/>
        <v>0</v>
      </c>
      <c r="M201" s="4">
        <f t="shared" si="302"/>
        <v>0</v>
      </c>
      <c r="N201" s="4">
        <f t="shared" si="303"/>
        <v>0</v>
      </c>
      <c r="O201" s="5">
        <f t="shared" si="304"/>
        <v>53</v>
      </c>
      <c r="P201" s="6" t="str">
        <f t="shared" si="305"/>
        <v>46 To 60 Days</v>
      </c>
      <c r="Q201" s="7">
        <v>42855</v>
      </c>
      <c r="R201" s="6" t="s">
        <v>2178</v>
      </c>
      <c r="Y201" s="1" t="str">
        <f>"4711234278"</f>
        <v>4711234278</v>
      </c>
    </row>
    <row r="202" spans="1:25" x14ac:dyDescent="0.2">
      <c r="A202" s="9" t="s">
        <v>214</v>
      </c>
      <c r="B202" s="10">
        <v>42732</v>
      </c>
      <c r="C202" s="9" t="s">
        <v>215</v>
      </c>
      <c r="D202" s="9" t="s">
        <v>133</v>
      </c>
      <c r="E202" s="9" t="s">
        <v>2190</v>
      </c>
      <c r="F202" s="9">
        <v>20000000</v>
      </c>
      <c r="G202" s="8">
        <v>4371</v>
      </c>
      <c r="H202" s="4">
        <f t="shared" si="297"/>
        <v>0</v>
      </c>
      <c r="I202" s="4">
        <f t="shared" si="298"/>
        <v>0</v>
      </c>
      <c r="J202" s="4">
        <f t="shared" si="299"/>
        <v>0</v>
      </c>
      <c r="K202" s="4">
        <f t="shared" si="300"/>
        <v>0</v>
      </c>
      <c r="L202" s="4">
        <f t="shared" si="301"/>
        <v>0</v>
      </c>
      <c r="M202" s="4">
        <f t="shared" si="302"/>
        <v>4371</v>
      </c>
      <c r="N202" s="4">
        <f t="shared" si="303"/>
        <v>4371</v>
      </c>
      <c r="O202" s="5">
        <f t="shared" si="304"/>
        <v>123</v>
      </c>
      <c r="P202" s="6" t="str">
        <f t="shared" si="305"/>
        <v>Plus120Days</v>
      </c>
      <c r="Q202" s="7">
        <v>42855</v>
      </c>
      <c r="R202" s="6" t="s">
        <v>2178</v>
      </c>
      <c r="V202" s="1" t="s">
        <v>13</v>
      </c>
      <c r="Y202" s="1" t="str">
        <f>"4711217750"</f>
        <v>4711217750</v>
      </c>
    </row>
    <row r="203" spans="1:25" x14ac:dyDescent="0.2">
      <c r="A203" s="9" t="s">
        <v>1672</v>
      </c>
      <c r="B203" s="10">
        <v>42829</v>
      </c>
      <c r="C203" s="9" t="s">
        <v>1673</v>
      </c>
      <c r="D203" s="9" t="s">
        <v>1671</v>
      </c>
      <c r="E203" s="9" t="s">
        <v>2190</v>
      </c>
      <c r="F203" s="9">
        <v>2000000</v>
      </c>
      <c r="G203" s="8">
        <v>4383</v>
      </c>
      <c r="H203" s="4">
        <f t="shared" si="297"/>
        <v>4383</v>
      </c>
      <c r="I203" s="4">
        <f t="shared" si="298"/>
        <v>0</v>
      </c>
      <c r="J203" s="4">
        <f t="shared" si="299"/>
        <v>0</v>
      </c>
      <c r="K203" s="4">
        <f t="shared" si="300"/>
        <v>0</v>
      </c>
      <c r="L203" s="4">
        <f t="shared" si="301"/>
        <v>0</v>
      </c>
      <c r="M203" s="4">
        <f t="shared" si="302"/>
        <v>0</v>
      </c>
      <c r="N203" s="4">
        <f t="shared" si="303"/>
        <v>0</v>
      </c>
      <c r="O203" s="5">
        <f t="shared" si="304"/>
        <v>26</v>
      </c>
      <c r="P203" s="6" t="str">
        <f t="shared" si="305"/>
        <v>30 Days</v>
      </c>
      <c r="Q203" s="7">
        <v>42855</v>
      </c>
      <c r="R203" s="6" t="s">
        <v>2178</v>
      </c>
      <c r="Y203" s="1" t="str">
        <f>"413044532"</f>
        <v>413044532</v>
      </c>
    </row>
    <row r="204" spans="1:25" x14ac:dyDescent="0.2">
      <c r="A204" s="9" t="s">
        <v>206</v>
      </c>
      <c r="B204" s="10">
        <v>42728</v>
      </c>
      <c r="C204" s="9" t="s">
        <v>207</v>
      </c>
      <c r="D204" s="9" t="s">
        <v>133</v>
      </c>
      <c r="E204" s="9" t="s">
        <v>2190</v>
      </c>
      <c r="F204" s="9">
        <v>20000000</v>
      </c>
      <c r="G204" s="8">
        <v>4383</v>
      </c>
      <c r="H204" s="4">
        <f t="shared" si="297"/>
        <v>0</v>
      </c>
      <c r="I204" s="4">
        <f t="shared" si="298"/>
        <v>0</v>
      </c>
      <c r="J204" s="4">
        <f t="shared" si="299"/>
        <v>0</v>
      </c>
      <c r="K204" s="4">
        <f t="shared" si="300"/>
        <v>0</v>
      </c>
      <c r="L204" s="4">
        <f t="shared" si="301"/>
        <v>0</v>
      </c>
      <c r="M204" s="4">
        <f t="shared" si="302"/>
        <v>4383</v>
      </c>
      <c r="N204" s="4">
        <f t="shared" si="303"/>
        <v>4383</v>
      </c>
      <c r="O204" s="5">
        <f t="shared" si="304"/>
        <v>127</v>
      </c>
      <c r="P204" s="6" t="str">
        <f t="shared" si="305"/>
        <v>Plus120Days</v>
      </c>
      <c r="Q204" s="7">
        <v>42855</v>
      </c>
      <c r="R204" s="6" t="s">
        <v>2178</v>
      </c>
      <c r="V204" s="1" t="s">
        <v>13</v>
      </c>
      <c r="Y204" s="1" t="str">
        <f>"4711216381"</f>
        <v>4711216381</v>
      </c>
    </row>
    <row r="205" spans="1:25" x14ac:dyDescent="0.2">
      <c r="A205" s="9" t="s">
        <v>208</v>
      </c>
      <c r="B205" s="10">
        <v>42728</v>
      </c>
      <c r="C205" s="9" t="s">
        <v>209</v>
      </c>
      <c r="D205" s="9" t="s">
        <v>133</v>
      </c>
      <c r="E205" s="9" t="s">
        <v>2190</v>
      </c>
      <c r="F205" s="9">
        <v>20000000</v>
      </c>
      <c r="G205" s="8">
        <v>4383</v>
      </c>
      <c r="H205" s="4">
        <f t="shared" si="297"/>
        <v>0</v>
      </c>
      <c r="I205" s="4">
        <f t="shared" si="298"/>
        <v>0</v>
      </c>
      <c r="J205" s="4">
        <f t="shared" si="299"/>
        <v>0</v>
      </c>
      <c r="K205" s="4">
        <f t="shared" si="300"/>
        <v>0</v>
      </c>
      <c r="L205" s="4">
        <f t="shared" si="301"/>
        <v>0</v>
      </c>
      <c r="M205" s="4">
        <f t="shared" si="302"/>
        <v>4383</v>
      </c>
      <c r="N205" s="4">
        <f t="shared" si="303"/>
        <v>4383</v>
      </c>
      <c r="O205" s="5">
        <f t="shared" si="304"/>
        <v>127</v>
      </c>
      <c r="P205" s="6" t="str">
        <f t="shared" si="305"/>
        <v>Plus120Days</v>
      </c>
      <c r="Q205" s="7">
        <v>42855</v>
      </c>
      <c r="R205" s="6" t="s">
        <v>2178</v>
      </c>
      <c r="V205" s="1" t="s">
        <v>13</v>
      </c>
      <c r="Y205" s="1" t="str">
        <f>"4711216383"</f>
        <v>4711216383</v>
      </c>
    </row>
    <row r="206" spans="1:25" x14ac:dyDescent="0.2">
      <c r="A206" s="9" t="s">
        <v>1872</v>
      </c>
      <c r="B206" s="10">
        <v>42835</v>
      </c>
      <c r="C206" s="9" t="s">
        <v>1873</v>
      </c>
      <c r="D206" s="9" t="s">
        <v>161</v>
      </c>
      <c r="E206" s="9" t="s">
        <v>2190</v>
      </c>
      <c r="F206" s="9">
        <v>0</v>
      </c>
      <c r="G206" s="8">
        <v>4402</v>
      </c>
      <c r="H206" s="4">
        <f t="shared" si="297"/>
        <v>4402</v>
      </c>
      <c r="I206" s="4">
        <f t="shared" si="298"/>
        <v>0</v>
      </c>
      <c r="J206" s="4">
        <f t="shared" si="299"/>
        <v>0</v>
      </c>
      <c r="K206" s="4">
        <f t="shared" si="300"/>
        <v>0</v>
      </c>
      <c r="L206" s="4">
        <f t="shared" si="301"/>
        <v>0</v>
      </c>
      <c r="M206" s="4">
        <f t="shared" si="302"/>
        <v>0</v>
      </c>
      <c r="N206" s="4">
        <f t="shared" si="303"/>
        <v>0</v>
      </c>
      <c r="O206" s="5">
        <f t="shared" si="304"/>
        <v>20</v>
      </c>
      <c r="P206" s="6" t="str">
        <f t="shared" si="305"/>
        <v>30 Days</v>
      </c>
      <c r="Q206" s="7">
        <v>42855</v>
      </c>
      <c r="R206" s="6" t="str">
        <f>VLOOKUP(A206:A3946,[1]BOM_INV_OPERATOR_DETAILS_OUTPUT!$A$2:$D$1233,4,FALSE)</f>
        <v>AI</v>
      </c>
      <c r="Y206" s="1" t="str">
        <f>"4711241256"</f>
        <v>4711241256</v>
      </c>
    </row>
    <row r="207" spans="1:25" x14ac:dyDescent="0.2">
      <c r="A207" s="9" t="s">
        <v>188</v>
      </c>
      <c r="B207" s="10">
        <v>42728</v>
      </c>
      <c r="C207" s="9" t="s">
        <v>189</v>
      </c>
      <c r="D207" s="9" t="s">
        <v>133</v>
      </c>
      <c r="E207" s="9" t="s">
        <v>2190</v>
      </c>
      <c r="F207" s="9">
        <v>20000000</v>
      </c>
      <c r="G207" s="8">
        <v>4403</v>
      </c>
      <c r="H207" s="4">
        <f t="shared" si="297"/>
        <v>0</v>
      </c>
      <c r="I207" s="4">
        <f t="shared" si="298"/>
        <v>0</v>
      </c>
      <c r="J207" s="4">
        <f t="shared" si="299"/>
        <v>0</v>
      </c>
      <c r="K207" s="4">
        <f t="shared" si="300"/>
        <v>0</v>
      </c>
      <c r="L207" s="4">
        <f t="shared" si="301"/>
        <v>0</v>
      </c>
      <c r="M207" s="4">
        <f t="shared" si="302"/>
        <v>4403</v>
      </c>
      <c r="N207" s="4">
        <f t="shared" si="303"/>
        <v>4403</v>
      </c>
      <c r="O207" s="5">
        <f t="shared" si="304"/>
        <v>127</v>
      </c>
      <c r="P207" s="6" t="str">
        <f t="shared" si="305"/>
        <v>Plus120Days</v>
      </c>
      <c r="Q207" s="7">
        <v>42855</v>
      </c>
      <c r="R207" s="6" t="s">
        <v>2178</v>
      </c>
      <c r="V207" s="1" t="s">
        <v>13</v>
      </c>
      <c r="Y207" s="1" t="str">
        <f>"4711216372"</f>
        <v>4711216372</v>
      </c>
    </row>
    <row r="208" spans="1:25" x14ac:dyDescent="0.2">
      <c r="A208" s="9" t="s">
        <v>1158</v>
      </c>
      <c r="B208" s="10">
        <v>42815</v>
      </c>
      <c r="C208" s="9" t="s">
        <v>1159</v>
      </c>
      <c r="D208" s="9" t="s">
        <v>140</v>
      </c>
      <c r="E208" s="9" t="s">
        <v>2190</v>
      </c>
      <c r="F208" s="9">
        <v>0</v>
      </c>
      <c r="G208" s="8">
        <v>4440</v>
      </c>
      <c r="H208" s="4">
        <f t="shared" si="297"/>
        <v>0</v>
      </c>
      <c r="I208" s="4">
        <f t="shared" si="298"/>
        <v>4440</v>
      </c>
      <c r="J208" s="4">
        <f t="shared" si="299"/>
        <v>0</v>
      </c>
      <c r="K208" s="4">
        <f t="shared" si="300"/>
        <v>0</v>
      </c>
      <c r="L208" s="4">
        <f t="shared" si="301"/>
        <v>0</v>
      </c>
      <c r="M208" s="4">
        <f t="shared" si="302"/>
        <v>0</v>
      </c>
      <c r="N208" s="4">
        <f t="shared" si="303"/>
        <v>0</v>
      </c>
      <c r="O208" s="5">
        <f t="shared" si="304"/>
        <v>40</v>
      </c>
      <c r="P208" s="6" t="str">
        <f t="shared" si="305"/>
        <v>31 TO 45 Days</v>
      </c>
      <c r="Q208" s="7">
        <v>42855</v>
      </c>
      <c r="R208" s="6" t="s">
        <v>2178</v>
      </c>
      <c r="Y208" s="1" t="str">
        <f>"4750387616"</f>
        <v>4750387616</v>
      </c>
    </row>
    <row r="209" spans="1:25" x14ac:dyDescent="0.2">
      <c r="A209" s="9" t="s">
        <v>194</v>
      </c>
      <c r="B209" s="10">
        <v>42728</v>
      </c>
      <c r="C209" s="9" t="s">
        <v>195</v>
      </c>
      <c r="D209" s="9" t="s">
        <v>133</v>
      </c>
      <c r="E209" s="9" t="s">
        <v>2190</v>
      </c>
      <c r="F209" s="9">
        <v>20000000</v>
      </c>
      <c r="G209" s="8">
        <v>4444</v>
      </c>
      <c r="H209" s="4">
        <f t="shared" si="297"/>
        <v>0</v>
      </c>
      <c r="I209" s="4">
        <f t="shared" si="298"/>
        <v>0</v>
      </c>
      <c r="J209" s="4">
        <f t="shared" si="299"/>
        <v>0</v>
      </c>
      <c r="K209" s="4">
        <f t="shared" si="300"/>
        <v>0</v>
      </c>
      <c r="L209" s="4">
        <f t="shared" si="301"/>
        <v>0</v>
      </c>
      <c r="M209" s="4">
        <f t="shared" si="302"/>
        <v>4444</v>
      </c>
      <c r="N209" s="4">
        <f t="shared" si="303"/>
        <v>4444</v>
      </c>
      <c r="O209" s="5">
        <f t="shared" si="304"/>
        <v>127</v>
      </c>
      <c r="P209" s="6" t="str">
        <f t="shared" si="305"/>
        <v>Plus120Days</v>
      </c>
      <c r="Q209" s="7">
        <v>42855</v>
      </c>
      <c r="R209" s="6" t="s">
        <v>2178</v>
      </c>
      <c r="V209" s="1" t="s">
        <v>13</v>
      </c>
      <c r="Y209" s="1" t="str">
        <f>"4711216937"</f>
        <v>4711216937</v>
      </c>
    </row>
    <row r="210" spans="1:25" x14ac:dyDescent="0.2">
      <c r="A210" s="9" t="s">
        <v>1725</v>
      </c>
      <c r="B210" s="10">
        <v>42830</v>
      </c>
      <c r="C210" s="9" t="s">
        <v>166</v>
      </c>
      <c r="D210" s="9" t="s">
        <v>152</v>
      </c>
      <c r="E210" s="9" t="s">
        <v>2190</v>
      </c>
      <c r="F210" s="9">
        <v>300000</v>
      </c>
      <c r="G210" s="8">
        <v>4465</v>
      </c>
      <c r="H210" s="4">
        <f t="shared" si="297"/>
        <v>4465</v>
      </c>
      <c r="I210" s="4">
        <f t="shared" si="298"/>
        <v>0</v>
      </c>
      <c r="J210" s="4">
        <f t="shared" si="299"/>
        <v>0</v>
      </c>
      <c r="K210" s="4">
        <f t="shared" si="300"/>
        <v>0</v>
      </c>
      <c r="L210" s="4">
        <f t="shared" si="301"/>
        <v>0</v>
      </c>
      <c r="M210" s="4">
        <f t="shared" si="302"/>
        <v>0</v>
      </c>
      <c r="N210" s="4">
        <f t="shared" si="303"/>
        <v>0</v>
      </c>
      <c r="O210" s="5">
        <f t="shared" si="304"/>
        <v>25</v>
      </c>
      <c r="P210" s="6" t="str">
        <f t="shared" si="305"/>
        <v>30 Days</v>
      </c>
      <c r="Q210" s="7">
        <v>42855</v>
      </c>
      <c r="R210" s="6" t="s">
        <v>2178</v>
      </c>
      <c r="Y210" s="1" t="str">
        <f>"4540131614"</f>
        <v>4540131614</v>
      </c>
    </row>
    <row r="211" spans="1:25" x14ac:dyDescent="0.2">
      <c r="A211" s="9" t="s">
        <v>236</v>
      </c>
      <c r="B211" s="10">
        <v>42734</v>
      </c>
      <c r="C211" s="9" t="s">
        <v>237</v>
      </c>
      <c r="D211" s="9" t="s">
        <v>133</v>
      </c>
      <c r="E211" s="9" t="s">
        <v>2190</v>
      </c>
      <c r="F211" s="9">
        <v>20000000</v>
      </c>
      <c r="G211" s="8">
        <v>4465</v>
      </c>
      <c r="H211" s="4">
        <f t="shared" si="297"/>
        <v>0</v>
      </c>
      <c r="I211" s="4">
        <f t="shared" si="298"/>
        <v>0</v>
      </c>
      <c r="J211" s="4">
        <f t="shared" si="299"/>
        <v>0</v>
      </c>
      <c r="K211" s="4">
        <f t="shared" si="300"/>
        <v>0</v>
      </c>
      <c r="L211" s="4">
        <f t="shared" si="301"/>
        <v>0</v>
      </c>
      <c r="M211" s="4">
        <f t="shared" si="302"/>
        <v>4465</v>
      </c>
      <c r="N211" s="4">
        <f t="shared" si="303"/>
        <v>4465</v>
      </c>
      <c r="O211" s="5">
        <f t="shared" si="304"/>
        <v>121</v>
      </c>
      <c r="P211" s="6" t="str">
        <f t="shared" si="305"/>
        <v>Plus120Days</v>
      </c>
      <c r="Q211" s="7">
        <v>42855</v>
      </c>
      <c r="R211" s="6" t="s">
        <v>2178</v>
      </c>
      <c r="V211" s="1" t="s">
        <v>13</v>
      </c>
      <c r="Y211" s="1" t="str">
        <f>"4711218501"</f>
        <v>4711218501</v>
      </c>
    </row>
    <row r="212" spans="1:25" x14ac:dyDescent="0.2">
      <c r="A212" s="9" t="s">
        <v>1018</v>
      </c>
      <c r="B212" s="10">
        <v>42810</v>
      </c>
      <c r="C212" s="9" t="s">
        <v>1019</v>
      </c>
      <c r="D212" s="9" t="s">
        <v>161</v>
      </c>
      <c r="E212" s="9" t="s">
        <v>2190</v>
      </c>
      <c r="F212" s="9">
        <v>0</v>
      </c>
      <c r="G212" s="8">
        <v>4476</v>
      </c>
      <c r="H212" s="4">
        <f t="shared" si="297"/>
        <v>0</v>
      </c>
      <c r="I212" s="4">
        <f t="shared" si="298"/>
        <v>4476</v>
      </c>
      <c r="J212" s="4">
        <f t="shared" si="299"/>
        <v>0</v>
      </c>
      <c r="K212" s="4">
        <f t="shared" si="300"/>
        <v>0</v>
      </c>
      <c r="L212" s="4">
        <f t="shared" si="301"/>
        <v>0</v>
      </c>
      <c r="M212" s="4">
        <f t="shared" si="302"/>
        <v>0</v>
      </c>
      <c r="N212" s="4">
        <f t="shared" si="303"/>
        <v>0</v>
      </c>
      <c r="O212" s="5">
        <f t="shared" si="304"/>
        <v>45</v>
      </c>
      <c r="P212" s="6" t="str">
        <f t="shared" si="305"/>
        <v>31 TO 45 Days</v>
      </c>
      <c r="Q212" s="7">
        <v>42855</v>
      </c>
      <c r="R212" s="6" t="s">
        <v>2178</v>
      </c>
      <c r="Y212" s="1" t="str">
        <f>"4711234735"</f>
        <v>4711234735</v>
      </c>
    </row>
    <row r="213" spans="1:25" x14ac:dyDescent="0.2">
      <c r="A213" s="9" t="s">
        <v>910</v>
      </c>
      <c r="B213" s="10">
        <v>42798</v>
      </c>
      <c r="C213" s="9" t="s">
        <v>577</v>
      </c>
      <c r="D213" s="9" t="s">
        <v>152</v>
      </c>
      <c r="E213" s="9" t="s">
        <v>2190</v>
      </c>
      <c r="F213" s="9">
        <v>300000</v>
      </c>
      <c r="G213" s="8">
        <v>4481</v>
      </c>
      <c r="H213" s="4">
        <f t="shared" ref="H213:H223" si="306">IF(O213&lt;=30,G213,0)</f>
        <v>0</v>
      </c>
      <c r="I213" s="4">
        <f t="shared" ref="I213:I223" si="307">IF(AND(O213&gt;30,O213&lt;=45),G213,0)</f>
        <v>0</v>
      </c>
      <c r="J213" s="4">
        <f t="shared" ref="J213:J223" si="308">IF(AND(O213&gt;45,O213&lt;=60),G213,0)</f>
        <v>4481</v>
      </c>
      <c r="K213" s="4">
        <f t="shared" ref="K213:K223" si="309">IF(AND(O213&gt;60,O213&lt;=90),G213,0)</f>
        <v>0</v>
      </c>
      <c r="L213" s="4">
        <f t="shared" ref="L213:L223" si="310">IF(AND(O213&gt;90,O213&lt;=120),G213,0)</f>
        <v>0</v>
      </c>
      <c r="M213" s="4">
        <f t="shared" ref="M213:M223" si="311">IF(O213&gt;120,G213,0)</f>
        <v>0</v>
      </c>
      <c r="N213" s="4">
        <f t="shared" ref="N213:N223" si="312">IF(O213&gt;60,G213,0)</f>
        <v>0</v>
      </c>
      <c r="O213" s="5">
        <f t="shared" ref="O213:O223" si="313">Q213-B213</f>
        <v>57</v>
      </c>
      <c r="P213" s="6" t="str">
        <f t="shared" ref="P213:P223" si="314">IF(AND(O213&lt;=30),"30 Days",IF(AND(O213&gt;30,O213&lt;=45),"31 TO 45 Days",IF(AND(O213&gt;45,O213&lt;=60),"46 To 60 Days",IF(AND(O213&gt;60,O213&lt;=90),"61 To 90 Days",IF(AND(O213&gt;90,O213&lt;=120),"91 To 120 Days",IF(AND(O213&gt;120),"Plus120Days",))))))</f>
        <v>46 To 60 Days</v>
      </c>
      <c r="Q213" s="7">
        <v>42855</v>
      </c>
      <c r="R213" s="6" t="s">
        <v>2178</v>
      </c>
      <c r="Y213" s="1" t="str">
        <f>"4540130629"</f>
        <v>4540130629</v>
      </c>
    </row>
    <row r="214" spans="1:25" x14ac:dyDescent="0.2">
      <c r="A214" s="9" t="s">
        <v>1237</v>
      </c>
      <c r="B214" s="10">
        <v>42816</v>
      </c>
      <c r="C214" s="9" t="s">
        <v>1238</v>
      </c>
      <c r="D214" s="9" t="s">
        <v>270</v>
      </c>
      <c r="E214" s="9" t="s">
        <v>2190</v>
      </c>
      <c r="F214" s="9">
        <v>0</v>
      </c>
      <c r="G214" s="8">
        <v>4492</v>
      </c>
      <c r="H214" s="4">
        <f t="shared" si="306"/>
        <v>0</v>
      </c>
      <c r="I214" s="4">
        <f t="shared" si="307"/>
        <v>4492</v>
      </c>
      <c r="J214" s="4">
        <f t="shared" si="308"/>
        <v>0</v>
      </c>
      <c r="K214" s="4">
        <f t="shared" si="309"/>
        <v>0</v>
      </c>
      <c r="L214" s="4">
        <f t="shared" si="310"/>
        <v>0</v>
      </c>
      <c r="M214" s="4">
        <f t="shared" si="311"/>
        <v>0</v>
      </c>
      <c r="N214" s="4">
        <f t="shared" si="312"/>
        <v>0</v>
      </c>
      <c r="O214" s="5">
        <f t="shared" si="313"/>
        <v>39</v>
      </c>
      <c r="P214" s="6" t="str">
        <f t="shared" si="314"/>
        <v>31 TO 45 Days</v>
      </c>
      <c r="Q214" s="7">
        <v>42855</v>
      </c>
      <c r="R214" s="6" t="s">
        <v>2178</v>
      </c>
      <c r="Y214" s="1" t="str">
        <f>"4570270210"</f>
        <v>4570270210</v>
      </c>
    </row>
    <row r="215" spans="1:25" x14ac:dyDescent="0.2">
      <c r="A215" s="9" t="s">
        <v>434</v>
      </c>
      <c r="B215" s="10">
        <v>42766</v>
      </c>
      <c r="C215" s="9" t="s">
        <v>435</v>
      </c>
      <c r="D215" s="9" t="s">
        <v>161</v>
      </c>
      <c r="E215" s="9" t="s">
        <v>2190</v>
      </c>
      <c r="F215" s="9">
        <v>0</v>
      </c>
      <c r="G215" s="8">
        <v>4532</v>
      </c>
      <c r="H215" s="4">
        <f t="shared" si="306"/>
        <v>0</v>
      </c>
      <c r="I215" s="4">
        <f t="shared" si="307"/>
        <v>0</v>
      </c>
      <c r="J215" s="4">
        <f t="shared" si="308"/>
        <v>0</v>
      </c>
      <c r="K215" s="4">
        <f t="shared" si="309"/>
        <v>4532</v>
      </c>
      <c r="L215" s="4">
        <f t="shared" si="310"/>
        <v>0</v>
      </c>
      <c r="M215" s="4">
        <f t="shared" si="311"/>
        <v>0</v>
      </c>
      <c r="N215" s="4">
        <f t="shared" si="312"/>
        <v>4532</v>
      </c>
      <c r="O215" s="5">
        <f t="shared" si="313"/>
        <v>89</v>
      </c>
      <c r="P215" s="6" t="str">
        <f t="shared" si="314"/>
        <v>61 To 90 Days</v>
      </c>
      <c r="Q215" s="7">
        <v>42855</v>
      </c>
      <c r="R215" s="6" t="s">
        <v>2178</v>
      </c>
      <c r="Y215" s="1" t="str">
        <f>"4912867246"</f>
        <v>4912867246</v>
      </c>
    </row>
    <row r="216" spans="1:25" x14ac:dyDescent="0.2">
      <c r="A216" s="9" t="s">
        <v>343</v>
      </c>
      <c r="B216" s="10">
        <v>42753</v>
      </c>
      <c r="C216" s="9" t="s">
        <v>344</v>
      </c>
      <c r="D216" s="9" t="s">
        <v>270</v>
      </c>
      <c r="E216" s="9" t="s">
        <v>2190</v>
      </c>
      <c r="F216" s="9">
        <v>0</v>
      </c>
      <c r="G216" s="8">
        <v>4542</v>
      </c>
      <c r="H216" s="4">
        <f t="shared" si="306"/>
        <v>0</v>
      </c>
      <c r="I216" s="4">
        <f t="shared" si="307"/>
        <v>0</v>
      </c>
      <c r="J216" s="4">
        <f t="shared" si="308"/>
        <v>0</v>
      </c>
      <c r="K216" s="4">
        <f t="shared" si="309"/>
        <v>0</v>
      </c>
      <c r="L216" s="4">
        <f t="shared" si="310"/>
        <v>4542</v>
      </c>
      <c r="M216" s="4">
        <f t="shared" si="311"/>
        <v>0</v>
      </c>
      <c r="N216" s="4">
        <f t="shared" si="312"/>
        <v>4542</v>
      </c>
      <c r="O216" s="5">
        <f t="shared" si="313"/>
        <v>102</v>
      </c>
      <c r="P216" s="6" t="str">
        <f t="shared" si="314"/>
        <v>91 To 120 Days</v>
      </c>
      <c r="Q216" s="7">
        <v>42855</v>
      </c>
      <c r="R216" s="6" t="s">
        <v>2178</v>
      </c>
      <c r="Y216" s="1" t="str">
        <f>"4570267167"</f>
        <v>4570267167</v>
      </c>
    </row>
    <row r="217" spans="1:25" x14ac:dyDescent="0.2">
      <c r="A217" s="9" t="s">
        <v>908</v>
      </c>
      <c r="B217" s="10">
        <v>42798</v>
      </c>
      <c r="C217" s="9" t="s">
        <v>909</v>
      </c>
      <c r="D217" s="9" t="s">
        <v>270</v>
      </c>
      <c r="E217" s="9" t="s">
        <v>2190</v>
      </c>
      <c r="F217" s="9">
        <v>0</v>
      </c>
      <c r="G217" s="8">
        <v>4566</v>
      </c>
      <c r="H217" s="4">
        <f t="shared" si="306"/>
        <v>0</v>
      </c>
      <c r="I217" s="4">
        <f t="shared" si="307"/>
        <v>0</v>
      </c>
      <c r="J217" s="4">
        <f t="shared" si="308"/>
        <v>4566</v>
      </c>
      <c r="K217" s="4">
        <f t="shared" si="309"/>
        <v>0</v>
      </c>
      <c r="L217" s="4">
        <f t="shared" si="310"/>
        <v>0</v>
      </c>
      <c r="M217" s="4">
        <f t="shared" si="311"/>
        <v>0</v>
      </c>
      <c r="N217" s="4">
        <f t="shared" si="312"/>
        <v>0</v>
      </c>
      <c r="O217" s="5">
        <f t="shared" si="313"/>
        <v>57</v>
      </c>
      <c r="P217" s="6" t="str">
        <f t="shared" si="314"/>
        <v>46 To 60 Days</v>
      </c>
      <c r="Q217" s="7">
        <v>42855</v>
      </c>
      <c r="R217" s="6" t="s">
        <v>2178</v>
      </c>
      <c r="Y217" s="1" t="str">
        <f>"4570269655"</f>
        <v>4570269655</v>
      </c>
    </row>
    <row r="218" spans="1:25" x14ac:dyDescent="0.2">
      <c r="A218" s="9" t="s">
        <v>845</v>
      </c>
      <c r="B218" s="10">
        <v>42795</v>
      </c>
      <c r="C218" s="9" t="s">
        <v>846</v>
      </c>
      <c r="D218" s="9" t="s">
        <v>38</v>
      </c>
      <c r="E218" s="9" t="s">
        <v>2190</v>
      </c>
      <c r="F218" s="9">
        <v>700000</v>
      </c>
      <c r="G218" s="8">
        <v>4567</v>
      </c>
      <c r="H218" s="4">
        <f t="shared" si="306"/>
        <v>0</v>
      </c>
      <c r="I218" s="4">
        <f t="shared" si="307"/>
        <v>0</v>
      </c>
      <c r="J218" s="4">
        <f t="shared" si="308"/>
        <v>4567</v>
      </c>
      <c r="K218" s="4">
        <f t="shared" si="309"/>
        <v>0</v>
      </c>
      <c r="L218" s="4">
        <f t="shared" si="310"/>
        <v>0</v>
      </c>
      <c r="M218" s="4">
        <f t="shared" si="311"/>
        <v>0</v>
      </c>
      <c r="N218" s="4">
        <f t="shared" si="312"/>
        <v>0</v>
      </c>
      <c r="O218" s="5">
        <f t="shared" si="313"/>
        <v>60</v>
      </c>
      <c r="P218" s="6" t="str">
        <f t="shared" si="314"/>
        <v>46 To 60 Days</v>
      </c>
      <c r="Q218" s="7">
        <v>42855</v>
      </c>
      <c r="R218" s="6" t="s">
        <v>2178</v>
      </c>
      <c r="Y218" s="1" t="str">
        <f>"417268007"</f>
        <v>417268007</v>
      </c>
    </row>
    <row r="219" spans="1:25" x14ac:dyDescent="0.2">
      <c r="A219" s="9" t="s">
        <v>1723</v>
      </c>
      <c r="B219" s="10">
        <v>42830</v>
      </c>
      <c r="C219" s="9" t="s">
        <v>1724</v>
      </c>
      <c r="D219" s="9" t="s">
        <v>152</v>
      </c>
      <c r="E219" s="9" t="s">
        <v>2190</v>
      </c>
      <c r="F219" s="9">
        <v>300000</v>
      </c>
      <c r="G219" s="8">
        <v>4619</v>
      </c>
      <c r="H219" s="4">
        <f t="shared" si="306"/>
        <v>4619</v>
      </c>
      <c r="I219" s="4">
        <f t="shared" si="307"/>
        <v>0</v>
      </c>
      <c r="J219" s="4">
        <f t="shared" si="308"/>
        <v>0</v>
      </c>
      <c r="K219" s="4">
        <f t="shared" si="309"/>
        <v>0</v>
      </c>
      <c r="L219" s="4">
        <f t="shared" si="310"/>
        <v>0</v>
      </c>
      <c r="M219" s="4">
        <f t="shared" si="311"/>
        <v>0</v>
      </c>
      <c r="N219" s="4">
        <f t="shared" si="312"/>
        <v>0</v>
      </c>
      <c r="O219" s="5">
        <f t="shared" si="313"/>
        <v>25</v>
      </c>
      <c r="P219" s="6" t="str">
        <f t="shared" si="314"/>
        <v>30 Days</v>
      </c>
      <c r="Q219" s="7">
        <v>42855</v>
      </c>
      <c r="R219" s="6" t="s">
        <v>2178</v>
      </c>
      <c r="Y219" s="1" t="str">
        <f>"4540131541"</f>
        <v>4540131541</v>
      </c>
    </row>
    <row r="220" spans="1:25" x14ac:dyDescent="0.2">
      <c r="A220" s="9" t="s">
        <v>1011</v>
      </c>
      <c r="B220" s="10">
        <v>42809</v>
      </c>
      <c r="C220" s="9" t="s">
        <v>1012</v>
      </c>
      <c r="D220" s="9" t="s">
        <v>20</v>
      </c>
      <c r="E220" s="9" t="s">
        <v>2190</v>
      </c>
      <c r="F220" s="9">
        <v>1000000</v>
      </c>
      <c r="G220" s="8">
        <v>4627</v>
      </c>
      <c r="H220" s="4">
        <f t="shared" si="306"/>
        <v>0</v>
      </c>
      <c r="I220" s="4">
        <f t="shared" si="307"/>
        <v>0</v>
      </c>
      <c r="J220" s="4">
        <f t="shared" si="308"/>
        <v>4627</v>
      </c>
      <c r="K220" s="4">
        <f t="shared" si="309"/>
        <v>0</v>
      </c>
      <c r="L220" s="4">
        <f t="shared" si="310"/>
        <v>0</v>
      </c>
      <c r="M220" s="4">
        <f t="shared" si="311"/>
        <v>0</v>
      </c>
      <c r="N220" s="4">
        <f t="shared" si="312"/>
        <v>0</v>
      </c>
      <c r="O220" s="5">
        <f t="shared" si="313"/>
        <v>46</v>
      </c>
      <c r="P220" s="6" t="str">
        <f t="shared" si="314"/>
        <v>46 To 60 Days</v>
      </c>
      <c r="Q220" s="7">
        <v>42855</v>
      </c>
      <c r="R220" s="6" t="s">
        <v>2178</v>
      </c>
      <c r="Y220" s="1" t="str">
        <f>"4812074031"</f>
        <v>4812074031</v>
      </c>
    </row>
    <row r="221" spans="1:25" x14ac:dyDescent="0.2">
      <c r="A221" s="9" t="s">
        <v>1405</v>
      </c>
      <c r="B221" s="10">
        <v>42822</v>
      </c>
      <c r="C221" s="9" t="s">
        <v>1406</v>
      </c>
      <c r="D221" s="9" t="s">
        <v>144</v>
      </c>
      <c r="E221" s="9" t="s">
        <v>2190</v>
      </c>
      <c r="F221" s="9">
        <v>2300000</v>
      </c>
      <c r="G221" s="8">
        <v>4628</v>
      </c>
      <c r="H221" s="4">
        <f t="shared" si="306"/>
        <v>0</v>
      </c>
      <c r="I221" s="4">
        <f t="shared" si="307"/>
        <v>4628</v>
      </c>
      <c r="J221" s="4">
        <f t="shared" si="308"/>
        <v>0</v>
      </c>
      <c r="K221" s="4">
        <f t="shared" si="309"/>
        <v>0</v>
      </c>
      <c r="L221" s="4">
        <f t="shared" si="310"/>
        <v>0</v>
      </c>
      <c r="M221" s="4">
        <f t="shared" si="311"/>
        <v>0</v>
      </c>
      <c r="N221" s="4">
        <f t="shared" si="312"/>
        <v>0</v>
      </c>
      <c r="O221" s="5">
        <f t="shared" si="313"/>
        <v>33</v>
      </c>
      <c r="P221" s="6" t="str">
        <f t="shared" si="314"/>
        <v>31 TO 45 Days</v>
      </c>
      <c r="Q221" s="7">
        <v>42855</v>
      </c>
      <c r="R221" s="6" t="s">
        <v>2178</v>
      </c>
      <c r="Y221" s="1" t="str">
        <f>"4912901750"</f>
        <v>4912901750</v>
      </c>
    </row>
    <row r="222" spans="1:25" x14ac:dyDescent="0.2">
      <c r="A222" s="9" t="s">
        <v>1487</v>
      </c>
      <c r="B222" s="10">
        <v>42824</v>
      </c>
      <c r="C222" s="9" t="s">
        <v>1488</v>
      </c>
      <c r="D222" s="9" t="s">
        <v>144</v>
      </c>
      <c r="E222" s="9" t="s">
        <v>2190</v>
      </c>
      <c r="F222" s="9">
        <v>2300000</v>
      </c>
      <c r="G222" s="8">
        <v>4639</v>
      </c>
      <c r="H222" s="4">
        <f t="shared" si="306"/>
        <v>0</v>
      </c>
      <c r="I222" s="4">
        <f t="shared" si="307"/>
        <v>4639</v>
      </c>
      <c r="J222" s="4">
        <f t="shared" si="308"/>
        <v>0</v>
      </c>
      <c r="K222" s="4">
        <f t="shared" si="309"/>
        <v>0</v>
      </c>
      <c r="L222" s="4">
        <f t="shared" si="310"/>
        <v>0</v>
      </c>
      <c r="M222" s="4">
        <f t="shared" si="311"/>
        <v>0</v>
      </c>
      <c r="N222" s="4">
        <f t="shared" si="312"/>
        <v>0</v>
      </c>
      <c r="O222" s="5">
        <f t="shared" si="313"/>
        <v>31</v>
      </c>
      <c r="P222" s="6" t="str">
        <f t="shared" si="314"/>
        <v>31 TO 45 Days</v>
      </c>
      <c r="Q222" s="7">
        <v>42855</v>
      </c>
      <c r="R222" s="6" t="s">
        <v>2178</v>
      </c>
      <c r="Y222" s="1" t="str">
        <f>"4912903749"</f>
        <v>4912903749</v>
      </c>
    </row>
    <row r="223" spans="1:25" x14ac:dyDescent="0.2">
      <c r="A223" s="9" t="s">
        <v>1702</v>
      </c>
      <c r="B223" s="10">
        <v>42830</v>
      </c>
      <c r="C223" s="9" t="s">
        <v>1703</v>
      </c>
      <c r="D223" s="9" t="s">
        <v>38</v>
      </c>
      <c r="E223" s="9" t="s">
        <v>2190</v>
      </c>
      <c r="F223" s="9">
        <v>700000</v>
      </c>
      <c r="G223" s="8">
        <v>4652</v>
      </c>
      <c r="H223" s="4">
        <f t="shared" si="306"/>
        <v>4652</v>
      </c>
      <c r="I223" s="4">
        <f t="shared" si="307"/>
        <v>0</v>
      </c>
      <c r="J223" s="4">
        <f t="shared" si="308"/>
        <v>0</v>
      </c>
      <c r="K223" s="4">
        <f t="shared" si="309"/>
        <v>0</v>
      </c>
      <c r="L223" s="4">
        <f t="shared" si="310"/>
        <v>0</v>
      </c>
      <c r="M223" s="4">
        <f t="shared" si="311"/>
        <v>0</v>
      </c>
      <c r="N223" s="4">
        <f t="shared" si="312"/>
        <v>0</v>
      </c>
      <c r="O223" s="5">
        <f t="shared" si="313"/>
        <v>25</v>
      </c>
      <c r="P223" s="6" t="str">
        <f t="shared" si="314"/>
        <v>30 Days</v>
      </c>
      <c r="Q223" s="7">
        <v>42855</v>
      </c>
      <c r="R223" s="6" t="s">
        <v>2178</v>
      </c>
      <c r="Y223" s="1" t="str">
        <f>"417268370"</f>
        <v>417268370</v>
      </c>
    </row>
    <row r="224" spans="1:25" x14ac:dyDescent="0.2">
      <c r="A224" s="9" t="s">
        <v>1290</v>
      </c>
      <c r="B224" s="10">
        <v>42818</v>
      </c>
      <c r="C224" s="9" t="s">
        <v>1291</v>
      </c>
      <c r="D224" s="9" t="s">
        <v>144</v>
      </c>
      <c r="E224" s="9" t="s">
        <v>2190</v>
      </c>
      <c r="F224" s="9">
        <v>2300000</v>
      </c>
      <c r="G224" s="8">
        <v>4662</v>
      </c>
      <c r="H224" s="4">
        <f t="shared" ref="H224:H245" si="315">IF(O224&lt;=30,G224,0)</f>
        <v>0</v>
      </c>
      <c r="I224" s="4">
        <f t="shared" ref="I224:I245" si="316">IF(AND(O224&gt;30,O224&lt;=45),G224,0)</f>
        <v>4662</v>
      </c>
      <c r="J224" s="4">
        <f t="shared" ref="J224:J245" si="317">IF(AND(O224&gt;45,O224&lt;=60),G224,0)</f>
        <v>0</v>
      </c>
      <c r="K224" s="4">
        <f t="shared" ref="K224:K245" si="318">IF(AND(O224&gt;60,O224&lt;=90),G224,0)</f>
        <v>0</v>
      </c>
      <c r="L224" s="4">
        <f t="shared" ref="L224:L245" si="319">IF(AND(O224&gt;90,O224&lt;=120),G224,0)</f>
        <v>0</v>
      </c>
      <c r="M224" s="4">
        <f t="shared" ref="M224:M245" si="320">IF(O224&gt;120,G224,0)</f>
        <v>0</v>
      </c>
      <c r="N224" s="4">
        <f t="shared" ref="N224:N245" si="321">IF(O224&gt;60,G224,0)</f>
        <v>0</v>
      </c>
      <c r="O224" s="5">
        <f t="shared" ref="O224:O245" si="322">Q224-B224</f>
        <v>37</v>
      </c>
      <c r="P224" s="6" t="str">
        <f t="shared" ref="P224:P245" si="323">IF(AND(O224&lt;=30),"30 Days",IF(AND(O224&gt;30,O224&lt;=45),"31 TO 45 Days",IF(AND(O224&gt;45,O224&lt;=60),"46 To 60 Days",IF(AND(O224&gt;60,O224&lt;=90),"61 To 90 Days",IF(AND(O224&gt;90,O224&lt;=120),"91 To 120 Days",IF(AND(O224&gt;120),"Plus120Days",))))))</f>
        <v>31 TO 45 Days</v>
      </c>
      <c r="Q224" s="7">
        <v>42855</v>
      </c>
      <c r="R224" s="6" t="s">
        <v>2178</v>
      </c>
      <c r="Y224" s="1" t="str">
        <f>"4912895980"</f>
        <v>4912895980</v>
      </c>
    </row>
    <row r="225" spans="1:25" x14ac:dyDescent="0.2">
      <c r="A225" s="9" t="s">
        <v>1199</v>
      </c>
      <c r="B225" s="10">
        <v>42815</v>
      </c>
      <c r="C225" s="9" t="s">
        <v>1200</v>
      </c>
      <c r="D225" s="9" t="s">
        <v>1198</v>
      </c>
      <c r="E225" s="9" t="s">
        <v>2190</v>
      </c>
      <c r="F225" s="9">
        <v>0</v>
      </c>
      <c r="G225" s="8">
        <v>4689</v>
      </c>
      <c r="H225" s="4">
        <f t="shared" si="315"/>
        <v>0</v>
      </c>
      <c r="I225" s="4">
        <f t="shared" si="316"/>
        <v>4689</v>
      </c>
      <c r="J225" s="4">
        <f t="shared" si="317"/>
        <v>0</v>
      </c>
      <c r="K225" s="4">
        <f t="shared" si="318"/>
        <v>0</v>
      </c>
      <c r="L225" s="4">
        <f t="shared" si="319"/>
        <v>0</v>
      </c>
      <c r="M225" s="4">
        <f t="shared" si="320"/>
        <v>0</v>
      </c>
      <c r="N225" s="4">
        <f t="shared" si="321"/>
        <v>0</v>
      </c>
      <c r="O225" s="5">
        <f t="shared" si="322"/>
        <v>40</v>
      </c>
      <c r="P225" s="6" t="str">
        <f t="shared" si="323"/>
        <v>31 TO 45 Days</v>
      </c>
      <c r="Q225" s="7">
        <v>42855</v>
      </c>
      <c r="R225" s="6" t="s">
        <v>2178</v>
      </c>
      <c r="Y225" s="1" t="str">
        <f>"4840401914"</f>
        <v>4840401914</v>
      </c>
    </row>
    <row r="226" spans="1:25" x14ac:dyDescent="0.2">
      <c r="A226" s="9" t="s">
        <v>1280</v>
      </c>
      <c r="B226" s="10">
        <v>42818</v>
      </c>
      <c r="C226" s="9" t="s">
        <v>1281</v>
      </c>
      <c r="D226" s="9" t="s">
        <v>144</v>
      </c>
      <c r="E226" s="9" t="s">
        <v>2190</v>
      </c>
      <c r="F226" s="9">
        <v>2300000</v>
      </c>
      <c r="G226" s="8">
        <v>4690</v>
      </c>
      <c r="H226" s="4">
        <f t="shared" si="315"/>
        <v>0</v>
      </c>
      <c r="I226" s="4">
        <f t="shared" si="316"/>
        <v>4690</v>
      </c>
      <c r="J226" s="4">
        <f t="shared" si="317"/>
        <v>0</v>
      </c>
      <c r="K226" s="4">
        <f t="shared" si="318"/>
        <v>0</v>
      </c>
      <c r="L226" s="4">
        <f t="shared" si="319"/>
        <v>0</v>
      </c>
      <c r="M226" s="4">
        <f t="shared" si="320"/>
        <v>0</v>
      </c>
      <c r="N226" s="4">
        <f t="shared" si="321"/>
        <v>0</v>
      </c>
      <c r="O226" s="5">
        <f t="shared" si="322"/>
        <v>37</v>
      </c>
      <c r="P226" s="6" t="str">
        <f t="shared" si="323"/>
        <v>31 TO 45 Days</v>
      </c>
      <c r="Q226" s="7">
        <v>42855</v>
      </c>
      <c r="R226" s="6" t="s">
        <v>2178</v>
      </c>
      <c r="Y226" s="1" t="str">
        <f>"4912900807"</f>
        <v>4912900807</v>
      </c>
    </row>
    <row r="227" spans="1:25" x14ac:dyDescent="0.2">
      <c r="A227" s="9" t="s">
        <v>1209</v>
      </c>
      <c r="B227" s="10">
        <v>42816</v>
      </c>
      <c r="C227" s="9" t="s">
        <v>1210</v>
      </c>
      <c r="D227" s="9" t="s">
        <v>270</v>
      </c>
      <c r="E227" s="9" t="s">
        <v>2190</v>
      </c>
      <c r="F227" s="9">
        <v>0</v>
      </c>
      <c r="G227" s="8">
        <v>4691</v>
      </c>
      <c r="H227" s="4">
        <f t="shared" si="315"/>
        <v>0</v>
      </c>
      <c r="I227" s="4">
        <f t="shared" si="316"/>
        <v>4691</v>
      </c>
      <c r="J227" s="4">
        <f t="shared" si="317"/>
        <v>0</v>
      </c>
      <c r="K227" s="4">
        <f t="shared" si="318"/>
        <v>0</v>
      </c>
      <c r="L227" s="4">
        <f t="shared" si="319"/>
        <v>0</v>
      </c>
      <c r="M227" s="4">
        <f t="shared" si="320"/>
        <v>0</v>
      </c>
      <c r="N227" s="4">
        <f t="shared" si="321"/>
        <v>0</v>
      </c>
      <c r="O227" s="5">
        <f t="shared" si="322"/>
        <v>39</v>
      </c>
      <c r="P227" s="6" t="str">
        <f t="shared" si="323"/>
        <v>31 TO 45 Days</v>
      </c>
      <c r="Q227" s="7">
        <v>42855</v>
      </c>
      <c r="R227" s="6" t="s">
        <v>2178</v>
      </c>
      <c r="Y227" s="1" t="str">
        <f>"4540131099"</f>
        <v>4540131099</v>
      </c>
    </row>
    <row r="228" spans="1:25" x14ac:dyDescent="0.2">
      <c r="A228" s="9" t="s">
        <v>1122</v>
      </c>
      <c r="B228" s="10">
        <v>42814</v>
      </c>
      <c r="C228" s="9" t="s">
        <v>1123</v>
      </c>
      <c r="D228" s="9" t="s">
        <v>20</v>
      </c>
      <c r="E228" s="9" t="s">
        <v>2190</v>
      </c>
      <c r="F228" s="9">
        <v>1000000</v>
      </c>
      <c r="G228" s="8">
        <v>4691</v>
      </c>
      <c r="H228" s="4">
        <f t="shared" si="315"/>
        <v>0</v>
      </c>
      <c r="I228" s="4">
        <f t="shared" si="316"/>
        <v>4691</v>
      </c>
      <c r="J228" s="4">
        <f t="shared" si="317"/>
        <v>0</v>
      </c>
      <c r="K228" s="4">
        <f t="shared" si="318"/>
        <v>0</v>
      </c>
      <c r="L228" s="4">
        <f t="shared" si="319"/>
        <v>0</v>
      </c>
      <c r="M228" s="4">
        <f t="shared" si="320"/>
        <v>0</v>
      </c>
      <c r="N228" s="4">
        <f t="shared" si="321"/>
        <v>0</v>
      </c>
      <c r="O228" s="5">
        <f t="shared" si="322"/>
        <v>41</v>
      </c>
      <c r="P228" s="6" t="str">
        <f t="shared" si="323"/>
        <v>31 TO 45 Days</v>
      </c>
      <c r="Q228" s="7">
        <v>42855</v>
      </c>
      <c r="R228" s="6" t="s">
        <v>2178</v>
      </c>
      <c r="Y228" s="1" t="str">
        <f>"4041695221"</f>
        <v>4041695221</v>
      </c>
    </row>
    <row r="229" spans="1:25" x14ac:dyDescent="0.2">
      <c r="A229" s="9" t="s">
        <v>1407</v>
      </c>
      <c r="B229" s="10">
        <v>42822</v>
      </c>
      <c r="C229" s="9" t="s">
        <v>1408</v>
      </c>
      <c r="D229" s="9" t="s">
        <v>144</v>
      </c>
      <c r="E229" s="9" t="s">
        <v>2190</v>
      </c>
      <c r="F229" s="9">
        <v>2300000</v>
      </c>
      <c r="G229" s="8">
        <v>4694</v>
      </c>
      <c r="H229" s="4">
        <f t="shared" si="315"/>
        <v>0</v>
      </c>
      <c r="I229" s="4">
        <f t="shared" si="316"/>
        <v>4694</v>
      </c>
      <c r="J229" s="4">
        <f t="shared" si="317"/>
        <v>0</v>
      </c>
      <c r="K229" s="4">
        <f t="shared" si="318"/>
        <v>0</v>
      </c>
      <c r="L229" s="4">
        <f t="shared" si="319"/>
        <v>0</v>
      </c>
      <c r="M229" s="4">
        <f t="shared" si="320"/>
        <v>0</v>
      </c>
      <c r="N229" s="4">
        <f t="shared" si="321"/>
        <v>0</v>
      </c>
      <c r="O229" s="5">
        <f t="shared" si="322"/>
        <v>33</v>
      </c>
      <c r="P229" s="6" t="str">
        <f t="shared" si="323"/>
        <v>31 TO 45 Days</v>
      </c>
      <c r="Q229" s="7">
        <v>42855</v>
      </c>
      <c r="R229" s="6" t="s">
        <v>2178</v>
      </c>
      <c r="Y229" s="1" t="str">
        <f>"4912903153"</f>
        <v>4912903153</v>
      </c>
    </row>
    <row r="230" spans="1:25" x14ac:dyDescent="0.2">
      <c r="A230" s="9" t="s">
        <v>328</v>
      </c>
      <c r="B230" s="10">
        <v>42752</v>
      </c>
      <c r="C230" s="9" t="s">
        <v>329</v>
      </c>
      <c r="D230" s="9" t="s">
        <v>133</v>
      </c>
      <c r="E230" s="9" t="s">
        <v>2190</v>
      </c>
      <c r="F230" s="9">
        <v>20000000</v>
      </c>
      <c r="G230" s="8">
        <v>4705</v>
      </c>
      <c r="H230" s="4">
        <f t="shared" si="315"/>
        <v>0</v>
      </c>
      <c r="I230" s="4">
        <f t="shared" si="316"/>
        <v>0</v>
      </c>
      <c r="J230" s="4">
        <f t="shared" si="317"/>
        <v>0</v>
      </c>
      <c r="K230" s="4">
        <f t="shared" si="318"/>
        <v>0</v>
      </c>
      <c r="L230" s="4">
        <f t="shared" si="319"/>
        <v>4705</v>
      </c>
      <c r="M230" s="4">
        <f t="shared" si="320"/>
        <v>0</v>
      </c>
      <c r="N230" s="4">
        <f t="shared" si="321"/>
        <v>4705</v>
      </c>
      <c r="O230" s="5">
        <f t="shared" si="322"/>
        <v>103</v>
      </c>
      <c r="P230" s="6" t="str">
        <f t="shared" si="323"/>
        <v>91 To 120 Days</v>
      </c>
      <c r="Q230" s="7">
        <v>42855</v>
      </c>
      <c r="R230" s="6" t="s">
        <v>2178</v>
      </c>
      <c r="V230" s="1" t="s">
        <v>13</v>
      </c>
      <c r="Y230" s="1" t="str">
        <f>"4520085003"</f>
        <v>4520085003</v>
      </c>
    </row>
    <row r="231" spans="1:25" x14ac:dyDescent="0.2">
      <c r="A231" s="9" t="s">
        <v>2139</v>
      </c>
      <c r="B231" s="10">
        <v>42840</v>
      </c>
      <c r="C231" s="9" t="s">
        <v>2140</v>
      </c>
      <c r="D231" s="9" t="s">
        <v>1626</v>
      </c>
      <c r="E231" s="9" t="s">
        <v>2190</v>
      </c>
      <c r="F231" s="9">
        <v>0</v>
      </c>
      <c r="G231" s="8">
        <v>4715</v>
      </c>
      <c r="H231" s="4">
        <f t="shared" si="315"/>
        <v>4715</v>
      </c>
      <c r="I231" s="4">
        <f t="shared" si="316"/>
        <v>0</v>
      </c>
      <c r="J231" s="4">
        <f t="shared" si="317"/>
        <v>0</v>
      </c>
      <c r="K231" s="4">
        <f t="shared" si="318"/>
        <v>0</v>
      </c>
      <c r="L231" s="4">
        <f t="shared" si="319"/>
        <v>0</v>
      </c>
      <c r="M231" s="4">
        <f t="shared" si="320"/>
        <v>0</v>
      </c>
      <c r="N231" s="4">
        <f t="shared" si="321"/>
        <v>0</v>
      </c>
      <c r="O231" s="5">
        <f t="shared" si="322"/>
        <v>15</v>
      </c>
      <c r="P231" s="6" t="str">
        <f t="shared" si="323"/>
        <v>30 Days</v>
      </c>
      <c r="Q231" s="7">
        <v>42855</v>
      </c>
      <c r="R231" s="6" t="str">
        <f>VLOOKUP(A231:A4072,[1]BOM_INV_OPERATOR_DETAILS_OUTPUT!$A$2:$D$1233,4,FALSE)</f>
        <v>AI</v>
      </c>
      <c r="Y231" s="1" t="str">
        <f>"417470662"</f>
        <v>417470662</v>
      </c>
    </row>
    <row r="232" spans="1:25" x14ac:dyDescent="0.2">
      <c r="A232" s="9" t="s">
        <v>2021</v>
      </c>
      <c r="B232" s="10">
        <v>42837</v>
      </c>
      <c r="C232" s="9" t="s">
        <v>2022</v>
      </c>
      <c r="D232" s="9" t="s">
        <v>2020</v>
      </c>
      <c r="E232" s="9" t="s">
        <v>2190</v>
      </c>
      <c r="F232" s="9">
        <v>0</v>
      </c>
      <c r="G232" s="8">
        <v>4715</v>
      </c>
      <c r="H232" s="4">
        <f t="shared" si="315"/>
        <v>4715</v>
      </c>
      <c r="I232" s="4">
        <f t="shared" si="316"/>
        <v>0</v>
      </c>
      <c r="J232" s="4">
        <f t="shared" si="317"/>
        <v>0</v>
      </c>
      <c r="K232" s="4">
        <f t="shared" si="318"/>
        <v>0</v>
      </c>
      <c r="L232" s="4">
        <f t="shared" si="319"/>
        <v>0</v>
      </c>
      <c r="M232" s="4">
        <f t="shared" si="320"/>
        <v>0</v>
      </c>
      <c r="N232" s="4">
        <f t="shared" si="321"/>
        <v>0</v>
      </c>
      <c r="O232" s="5">
        <f t="shared" si="322"/>
        <v>18</v>
      </c>
      <c r="P232" s="6" t="str">
        <f t="shared" si="323"/>
        <v>30 Days</v>
      </c>
      <c r="Q232" s="7">
        <v>42855</v>
      </c>
      <c r="R232" s="6" t="str">
        <f>VLOOKUP(A232:A4073,[1]BOM_INV_OPERATOR_DETAILS_OUTPUT!$A$2:$D$1233,4,FALSE)</f>
        <v>AI</v>
      </c>
      <c r="Y232" s="1" t="str">
        <f>"4400190799"</f>
        <v>4400190799</v>
      </c>
    </row>
    <row r="233" spans="1:25" x14ac:dyDescent="0.2">
      <c r="A233" s="9" t="s">
        <v>1578</v>
      </c>
      <c r="B233" s="10">
        <v>42826</v>
      </c>
      <c r="C233" s="9" t="s">
        <v>1579</v>
      </c>
      <c r="D233" s="9" t="s">
        <v>165</v>
      </c>
      <c r="E233" s="9" t="s">
        <v>2190</v>
      </c>
      <c r="F233" s="9">
        <v>0</v>
      </c>
      <c r="G233" s="8">
        <v>4715</v>
      </c>
      <c r="H233" s="4">
        <f t="shared" si="315"/>
        <v>4715</v>
      </c>
      <c r="I233" s="4">
        <f t="shared" si="316"/>
        <v>0</v>
      </c>
      <c r="J233" s="4">
        <f t="shared" si="317"/>
        <v>0</v>
      </c>
      <c r="K233" s="4">
        <f t="shared" si="318"/>
        <v>0</v>
      </c>
      <c r="L233" s="4">
        <f t="shared" si="319"/>
        <v>0</v>
      </c>
      <c r="M233" s="4">
        <f t="shared" si="320"/>
        <v>0</v>
      </c>
      <c r="N233" s="4">
        <f t="shared" si="321"/>
        <v>0</v>
      </c>
      <c r="O233" s="5">
        <f t="shared" si="322"/>
        <v>29</v>
      </c>
      <c r="P233" s="6" t="str">
        <f t="shared" si="323"/>
        <v>30 Days</v>
      </c>
      <c r="Q233" s="7">
        <v>42855</v>
      </c>
      <c r="R233" s="6" t="s">
        <v>2178</v>
      </c>
      <c r="Y233" s="1" t="str">
        <f>"4100145129"</f>
        <v>4100145129</v>
      </c>
    </row>
    <row r="234" spans="1:25" x14ac:dyDescent="0.2">
      <c r="A234" s="9" t="s">
        <v>339</v>
      </c>
      <c r="B234" s="10">
        <v>42753</v>
      </c>
      <c r="C234" s="9" t="s">
        <v>340</v>
      </c>
      <c r="D234" s="9" t="s">
        <v>270</v>
      </c>
      <c r="E234" s="9" t="s">
        <v>2190</v>
      </c>
      <c r="F234" s="9">
        <v>0</v>
      </c>
      <c r="G234" s="8">
        <v>4729</v>
      </c>
      <c r="H234" s="4">
        <f t="shared" si="315"/>
        <v>0</v>
      </c>
      <c r="I234" s="4">
        <f t="shared" si="316"/>
        <v>0</v>
      </c>
      <c r="J234" s="4">
        <f t="shared" si="317"/>
        <v>0</v>
      </c>
      <c r="K234" s="4">
        <f t="shared" si="318"/>
        <v>0</v>
      </c>
      <c r="L234" s="4">
        <f t="shared" si="319"/>
        <v>4729</v>
      </c>
      <c r="M234" s="4">
        <f t="shared" si="320"/>
        <v>0</v>
      </c>
      <c r="N234" s="4">
        <f t="shared" si="321"/>
        <v>4729</v>
      </c>
      <c r="O234" s="5">
        <f t="shared" si="322"/>
        <v>102</v>
      </c>
      <c r="P234" s="6" t="str">
        <f t="shared" si="323"/>
        <v>91 To 120 Days</v>
      </c>
      <c r="Q234" s="7">
        <v>42855</v>
      </c>
      <c r="R234" s="6" t="s">
        <v>2178</v>
      </c>
      <c r="Y234" s="1" t="str">
        <f>"4540129482"</f>
        <v>4540129482</v>
      </c>
    </row>
    <row r="235" spans="1:25" x14ac:dyDescent="0.2">
      <c r="A235" s="9" t="s">
        <v>1507</v>
      </c>
      <c r="B235" s="10">
        <v>42824</v>
      </c>
      <c r="C235" s="9" t="s">
        <v>1508</v>
      </c>
      <c r="D235" s="9" t="s">
        <v>140</v>
      </c>
      <c r="E235" s="9" t="s">
        <v>2190</v>
      </c>
      <c r="F235" s="9">
        <v>0</v>
      </c>
      <c r="G235" s="8">
        <v>4729</v>
      </c>
      <c r="H235" s="4">
        <f t="shared" si="315"/>
        <v>0</v>
      </c>
      <c r="I235" s="4">
        <f t="shared" si="316"/>
        <v>4729</v>
      </c>
      <c r="J235" s="4">
        <f t="shared" si="317"/>
        <v>0</v>
      </c>
      <c r="K235" s="4">
        <f t="shared" si="318"/>
        <v>0</v>
      </c>
      <c r="L235" s="4">
        <f t="shared" si="319"/>
        <v>0</v>
      </c>
      <c r="M235" s="4">
        <f t="shared" si="320"/>
        <v>0</v>
      </c>
      <c r="N235" s="4">
        <f t="shared" si="321"/>
        <v>0</v>
      </c>
      <c r="O235" s="5">
        <f t="shared" si="322"/>
        <v>31</v>
      </c>
      <c r="P235" s="6" t="str">
        <f t="shared" si="323"/>
        <v>31 TO 45 Days</v>
      </c>
      <c r="Q235" s="7">
        <v>42855</v>
      </c>
      <c r="R235" s="6" t="s">
        <v>2178</v>
      </c>
      <c r="Y235" s="1" t="str">
        <f>"4540131036"</f>
        <v>4540131036</v>
      </c>
    </row>
    <row r="236" spans="1:25" x14ac:dyDescent="0.2">
      <c r="A236" s="9" t="s">
        <v>1525</v>
      </c>
      <c r="B236" s="10">
        <v>42825</v>
      </c>
      <c r="C236" s="9" t="s">
        <v>1526</v>
      </c>
      <c r="D236" s="9" t="s">
        <v>140</v>
      </c>
      <c r="E236" s="9" t="s">
        <v>2190</v>
      </c>
      <c r="F236" s="9">
        <v>0</v>
      </c>
      <c r="G236" s="8">
        <v>4729</v>
      </c>
      <c r="H236" s="4">
        <f t="shared" si="315"/>
        <v>4729</v>
      </c>
      <c r="I236" s="4">
        <f t="shared" si="316"/>
        <v>0</v>
      </c>
      <c r="J236" s="4">
        <f t="shared" si="317"/>
        <v>0</v>
      </c>
      <c r="K236" s="4">
        <f t="shared" si="318"/>
        <v>0</v>
      </c>
      <c r="L236" s="4">
        <f t="shared" si="319"/>
        <v>0</v>
      </c>
      <c r="M236" s="4">
        <f t="shared" si="320"/>
        <v>0</v>
      </c>
      <c r="N236" s="4">
        <f t="shared" si="321"/>
        <v>0</v>
      </c>
      <c r="O236" s="5">
        <f t="shared" si="322"/>
        <v>30</v>
      </c>
      <c r="P236" s="6" t="str">
        <f t="shared" si="323"/>
        <v>30 Days</v>
      </c>
      <c r="Q236" s="7">
        <v>42855</v>
      </c>
      <c r="R236" s="6" t="s">
        <v>2178</v>
      </c>
      <c r="Y236" s="1" t="str">
        <f>"4540130736"</f>
        <v>4540130736</v>
      </c>
    </row>
    <row r="237" spans="1:25" x14ac:dyDescent="0.2">
      <c r="A237" s="9" t="s">
        <v>1491</v>
      </c>
      <c r="B237" s="10">
        <v>42824</v>
      </c>
      <c r="C237" s="9" t="s">
        <v>1492</v>
      </c>
      <c r="D237" s="9" t="s">
        <v>144</v>
      </c>
      <c r="E237" s="9" t="s">
        <v>2190</v>
      </c>
      <c r="F237" s="9">
        <v>2300000</v>
      </c>
      <c r="G237" s="8">
        <v>4750</v>
      </c>
      <c r="H237" s="4">
        <f t="shared" si="315"/>
        <v>0</v>
      </c>
      <c r="I237" s="4">
        <f t="shared" si="316"/>
        <v>4750</v>
      </c>
      <c r="J237" s="4">
        <f t="shared" si="317"/>
        <v>0</v>
      </c>
      <c r="K237" s="4">
        <f t="shared" si="318"/>
        <v>0</v>
      </c>
      <c r="L237" s="4">
        <f t="shared" si="319"/>
        <v>0</v>
      </c>
      <c r="M237" s="4">
        <f t="shared" si="320"/>
        <v>0</v>
      </c>
      <c r="N237" s="4">
        <f t="shared" si="321"/>
        <v>0</v>
      </c>
      <c r="O237" s="5">
        <f t="shared" si="322"/>
        <v>31</v>
      </c>
      <c r="P237" s="6" t="str">
        <f t="shared" si="323"/>
        <v>31 TO 45 Days</v>
      </c>
      <c r="Q237" s="7">
        <v>42855</v>
      </c>
      <c r="R237" s="6" t="s">
        <v>2178</v>
      </c>
      <c r="Y237" s="1" t="str">
        <f>"4912905613"</f>
        <v>4912905613</v>
      </c>
    </row>
    <row r="238" spans="1:25" x14ac:dyDescent="0.2">
      <c r="A238" s="9" t="s">
        <v>847</v>
      </c>
      <c r="B238" s="10">
        <v>42795</v>
      </c>
      <c r="C238" s="9" t="s">
        <v>848</v>
      </c>
      <c r="D238" s="9" t="s">
        <v>38</v>
      </c>
      <c r="E238" s="9" t="s">
        <v>2190</v>
      </c>
      <c r="F238" s="9">
        <v>700000</v>
      </c>
      <c r="G238" s="8">
        <v>4771</v>
      </c>
      <c r="H238" s="4">
        <f t="shared" si="315"/>
        <v>0</v>
      </c>
      <c r="I238" s="4">
        <f t="shared" si="316"/>
        <v>0</v>
      </c>
      <c r="J238" s="4">
        <f t="shared" si="317"/>
        <v>4771</v>
      </c>
      <c r="K238" s="4">
        <f t="shared" si="318"/>
        <v>0</v>
      </c>
      <c r="L238" s="4">
        <f t="shared" si="319"/>
        <v>0</v>
      </c>
      <c r="M238" s="4">
        <f t="shared" si="320"/>
        <v>0</v>
      </c>
      <c r="N238" s="4">
        <f t="shared" si="321"/>
        <v>0</v>
      </c>
      <c r="O238" s="5">
        <f t="shared" si="322"/>
        <v>60</v>
      </c>
      <c r="P238" s="6" t="str">
        <f t="shared" si="323"/>
        <v>46 To 60 Days</v>
      </c>
      <c r="Q238" s="7">
        <v>42855</v>
      </c>
      <c r="R238" s="6" t="s">
        <v>2178</v>
      </c>
      <c r="Y238" s="1" t="str">
        <f>"417268099"</f>
        <v>417268099</v>
      </c>
    </row>
    <row r="239" spans="1:25" x14ac:dyDescent="0.2">
      <c r="A239" s="9" t="s">
        <v>1278</v>
      </c>
      <c r="B239" s="10">
        <v>42818</v>
      </c>
      <c r="C239" s="9" t="s">
        <v>1279</v>
      </c>
      <c r="D239" s="9" t="s">
        <v>144</v>
      </c>
      <c r="E239" s="9" t="s">
        <v>2190</v>
      </c>
      <c r="F239" s="9">
        <v>2300000</v>
      </c>
      <c r="G239" s="8">
        <v>4773</v>
      </c>
      <c r="H239" s="4">
        <f t="shared" si="315"/>
        <v>0</v>
      </c>
      <c r="I239" s="4">
        <f t="shared" si="316"/>
        <v>4773</v>
      </c>
      <c r="J239" s="4">
        <f t="shared" si="317"/>
        <v>0</v>
      </c>
      <c r="K239" s="4">
        <f t="shared" si="318"/>
        <v>0</v>
      </c>
      <c r="L239" s="4">
        <f t="shared" si="319"/>
        <v>0</v>
      </c>
      <c r="M239" s="4">
        <f t="shared" si="320"/>
        <v>0</v>
      </c>
      <c r="N239" s="4">
        <f t="shared" si="321"/>
        <v>0</v>
      </c>
      <c r="O239" s="5">
        <f t="shared" si="322"/>
        <v>37</v>
      </c>
      <c r="P239" s="6" t="str">
        <f t="shared" si="323"/>
        <v>31 TO 45 Days</v>
      </c>
      <c r="Q239" s="7">
        <v>42855</v>
      </c>
      <c r="R239" s="6" t="s">
        <v>2178</v>
      </c>
      <c r="Y239" s="1" t="str">
        <f>"4912900813"</f>
        <v>4912900813</v>
      </c>
    </row>
    <row r="240" spans="1:25" x14ac:dyDescent="0.2">
      <c r="A240" s="9" t="s">
        <v>878</v>
      </c>
      <c r="B240" s="10">
        <v>42797</v>
      </c>
      <c r="C240" s="9" t="s">
        <v>879</v>
      </c>
      <c r="D240" s="9" t="s">
        <v>140</v>
      </c>
      <c r="E240" s="9" t="s">
        <v>2190</v>
      </c>
      <c r="F240" s="9">
        <v>0</v>
      </c>
      <c r="G240" s="8">
        <v>4780</v>
      </c>
      <c r="H240" s="4">
        <f t="shared" si="315"/>
        <v>0</v>
      </c>
      <c r="I240" s="4">
        <f t="shared" si="316"/>
        <v>0</v>
      </c>
      <c r="J240" s="4">
        <f t="shared" si="317"/>
        <v>4780</v>
      </c>
      <c r="K240" s="4">
        <f t="shared" si="318"/>
        <v>0</v>
      </c>
      <c r="L240" s="4">
        <f t="shared" si="319"/>
        <v>0</v>
      </c>
      <c r="M240" s="4">
        <f t="shared" si="320"/>
        <v>0</v>
      </c>
      <c r="N240" s="4">
        <f t="shared" si="321"/>
        <v>0</v>
      </c>
      <c r="O240" s="5">
        <f t="shared" si="322"/>
        <v>58</v>
      </c>
      <c r="P240" s="6" t="str">
        <f t="shared" si="323"/>
        <v>46 To 60 Days</v>
      </c>
      <c r="Q240" s="7">
        <v>42855</v>
      </c>
      <c r="R240" s="6" t="s">
        <v>2178</v>
      </c>
      <c r="Y240" s="1" t="str">
        <f>"4580117973"</f>
        <v>4580117973</v>
      </c>
    </row>
    <row r="241" spans="1:25" x14ac:dyDescent="0.2">
      <c r="A241" s="9" t="s">
        <v>861</v>
      </c>
      <c r="B241" s="10">
        <v>42796</v>
      </c>
      <c r="C241" s="9" t="s">
        <v>862</v>
      </c>
      <c r="D241" s="9" t="s">
        <v>20</v>
      </c>
      <c r="E241" s="9" t="s">
        <v>2190</v>
      </c>
      <c r="F241" s="9">
        <v>1000000</v>
      </c>
      <c r="G241" s="8">
        <v>4781</v>
      </c>
      <c r="H241" s="4">
        <f t="shared" si="315"/>
        <v>0</v>
      </c>
      <c r="I241" s="4">
        <f t="shared" si="316"/>
        <v>0</v>
      </c>
      <c r="J241" s="4">
        <f t="shared" si="317"/>
        <v>4781</v>
      </c>
      <c r="K241" s="4">
        <f t="shared" si="318"/>
        <v>0</v>
      </c>
      <c r="L241" s="4">
        <f t="shared" si="319"/>
        <v>0</v>
      </c>
      <c r="M241" s="4">
        <f t="shared" si="320"/>
        <v>0</v>
      </c>
      <c r="N241" s="4">
        <f t="shared" si="321"/>
        <v>0</v>
      </c>
      <c r="O241" s="5">
        <f t="shared" si="322"/>
        <v>59</v>
      </c>
      <c r="P241" s="6" t="str">
        <f t="shared" si="323"/>
        <v>46 To 60 Days</v>
      </c>
      <c r="Q241" s="7">
        <v>42855</v>
      </c>
      <c r="R241" s="6" t="s">
        <v>2178</v>
      </c>
      <c r="Y241" s="1" t="str">
        <f>"4041693406"</f>
        <v>4041693406</v>
      </c>
    </row>
    <row r="242" spans="1:25" x14ac:dyDescent="0.2">
      <c r="A242" s="9" t="s">
        <v>1522</v>
      </c>
      <c r="B242" s="10">
        <v>42825</v>
      </c>
      <c r="C242" s="9" t="s">
        <v>1523</v>
      </c>
      <c r="D242" s="9" t="s">
        <v>42</v>
      </c>
      <c r="E242" s="9" t="s">
        <v>2190</v>
      </c>
      <c r="F242" s="9">
        <v>1480000</v>
      </c>
      <c r="G242" s="8">
        <v>4783</v>
      </c>
      <c r="H242" s="4">
        <f t="shared" si="315"/>
        <v>4783</v>
      </c>
      <c r="I242" s="4">
        <f t="shared" si="316"/>
        <v>0</v>
      </c>
      <c r="J242" s="4">
        <f t="shared" si="317"/>
        <v>0</v>
      </c>
      <c r="K242" s="4">
        <f t="shared" si="318"/>
        <v>0</v>
      </c>
      <c r="L242" s="4">
        <f t="shared" si="319"/>
        <v>0</v>
      </c>
      <c r="M242" s="4">
        <f t="shared" si="320"/>
        <v>0</v>
      </c>
      <c r="N242" s="4">
        <f t="shared" si="321"/>
        <v>0</v>
      </c>
      <c r="O242" s="5">
        <f t="shared" si="322"/>
        <v>30</v>
      </c>
      <c r="P242" s="6" t="str">
        <f t="shared" si="323"/>
        <v>30 Days</v>
      </c>
      <c r="Q242" s="7">
        <v>42855</v>
      </c>
      <c r="R242" s="6" t="s">
        <v>2178</v>
      </c>
      <c r="Y242" s="1" t="str">
        <f>"4395796386"</f>
        <v>4395796386</v>
      </c>
    </row>
    <row r="243" spans="1:25" x14ac:dyDescent="0.2">
      <c r="A243" s="9" t="s">
        <v>389</v>
      </c>
      <c r="B243" s="10">
        <v>42762</v>
      </c>
      <c r="C243" s="9" t="s">
        <v>390</v>
      </c>
      <c r="D243" s="9" t="s">
        <v>270</v>
      </c>
      <c r="E243" s="9" t="s">
        <v>2190</v>
      </c>
      <c r="F243" s="9">
        <v>0</v>
      </c>
      <c r="G243" s="8">
        <v>4792</v>
      </c>
      <c r="H243" s="4">
        <f t="shared" si="315"/>
        <v>0</v>
      </c>
      <c r="I243" s="4">
        <f t="shared" si="316"/>
        <v>0</v>
      </c>
      <c r="J243" s="4">
        <f t="shared" si="317"/>
        <v>0</v>
      </c>
      <c r="K243" s="4">
        <f t="shared" si="318"/>
        <v>0</v>
      </c>
      <c r="L243" s="4">
        <f t="shared" si="319"/>
        <v>4792</v>
      </c>
      <c r="M243" s="4">
        <f t="shared" si="320"/>
        <v>0</v>
      </c>
      <c r="N243" s="4">
        <f t="shared" si="321"/>
        <v>4792</v>
      </c>
      <c r="O243" s="5">
        <f t="shared" si="322"/>
        <v>93</v>
      </c>
      <c r="P243" s="6" t="str">
        <f t="shared" si="323"/>
        <v>91 To 120 Days</v>
      </c>
      <c r="Q243" s="7">
        <v>42855</v>
      </c>
      <c r="R243" s="6" t="s">
        <v>2178</v>
      </c>
      <c r="Y243" s="1" t="str">
        <f>"4560216738"</f>
        <v>4560216738</v>
      </c>
    </row>
    <row r="244" spans="1:25" x14ac:dyDescent="0.2">
      <c r="A244" s="9" t="s">
        <v>984</v>
      </c>
      <c r="B244" s="10">
        <v>42808</v>
      </c>
      <c r="C244" s="9" t="s">
        <v>985</v>
      </c>
      <c r="D244" s="9" t="s">
        <v>20</v>
      </c>
      <c r="E244" s="9" t="s">
        <v>2190</v>
      </c>
      <c r="F244" s="9">
        <v>1000000</v>
      </c>
      <c r="G244" s="8">
        <v>4809</v>
      </c>
      <c r="H244" s="4">
        <f t="shared" si="315"/>
        <v>0</v>
      </c>
      <c r="I244" s="4">
        <f t="shared" si="316"/>
        <v>0</v>
      </c>
      <c r="J244" s="4">
        <f t="shared" si="317"/>
        <v>4809</v>
      </c>
      <c r="K244" s="4">
        <f t="shared" si="318"/>
        <v>0</v>
      </c>
      <c r="L244" s="4">
        <f t="shared" si="319"/>
        <v>0</v>
      </c>
      <c r="M244" s="4">
        <f t="shared" si="320"/>
        <v>0</v>
      </c>
      <c r="N244" s="4">
        <f t="shared" si="321"/>
        <v>0</v>
      </c>
      <c r="O244" s="5">
        <f t="shared" si="322"/>
        <v>47</v>
      </c>
      <c r="P244" s="6" t="str">
        <f t="shared" si="323"/>
        <v>46 To 60 Days</v>
      </c>
      <c r="Q244" s="7">
        <v>42855</v>
      </c>
      <c r="R244" s="6" t="s">
        <v>2178</v>
      </c>
      <c r="Y244" s="1" t="str">
        <f>"4041694312"</f>
        <v>4041694312</v>
      </c>
    </row>
    <row r="245" spans="1:25" x14ac:dyDescent="0.2">
      <c r="A245" s="9" t="s">
        <v>298</v>
      </c>
      <c r="B245" s="10">
        <v>42746</v>
      </c>
      <c r="C245" s="9" t="s">
        <v>299</v>
      </c>
      <c r="D245" s="9" t="s">
        <v>161</v>
      </c>
      <c r="E245" s="9" t="s">
        <v>2190</v>
      </c>
      <c r="F245" s="9">
        <v>0</v>
      </c>
      <c r="G245" s="8">
        <v>4813</v>
      </c>
      <c r="H245" s="4">
        <f t="shared" si="315"/>
        <v>0</v>
      </c>
      <c r="I245" s="4">
        <f t="shared" si="316"/>
        <v>0</v>
      </c>
      <c r="J245" s="4">
        <f t="shared" si="317"/>
        <v>0</v>
      </c>
      <c r="K245" s="4">
        <f t="shared" si="318"/>
        <v>0</v>
      </c>
      <c r="L245" s="4">
        <f t="shared" si="319"/>
        <v>4813</v>
      </c>
      <c r="M245" s="4">
        <f t="shared" si="320"/>
        <v>0</v>
      </c>
      <c r="N245" s="4">
        <f t="shared" si="321"/>
        <v>4813</v>
      </c>
      <c r="O245" s="5">
        <f t="shared" si="322"/>
        <v>109</v>
      </c>
      <c r="P245" s="6" t="str">
        <f t="shared" si="323"/>
        <v>91 To 120 Days</v>
      </c>
      <c r="Q245" s="7">
        <v>42855</v>
      </c>
      <c r="R245" s="6" t="s">
        <v>2178</v>
      </c>
      <c r="Y245" s="1" t="str">
        <f>"4711221379"</f>
        <v>4711221379</v>
      </c>
    </row>
    <row r="246" spans="1:25" x14ac:dyDescent="0.2">
      <c r="A246" s="9" t="s">
        <v>483</v>
      </c>
      <c r="B246" s="10">
        <v>42773</v>
      </c>
      <c r="C246" s="9" t="s">
        <v>484</v>
      </c>
      <c r="D246" s="9" t="s">
        <v>140</v>
      </c>
      <c r="E246" s="9" t="s">
        <v>2190</v>
      </c>
      <c r="F246" s="9">
        <v>0</v>
      </c>
      <c r="G246" s="8">
        <v>4815</v>
      </c>
      <c r="H246" s="4">
        <f t="shared" ref="H246:H273" si="324">IF(O246&lt;=30,G246,0)</f>
        <v>0</v>
      </c>
      <c r="I246" s="4">
        <f t="shared" ref="I246:I273" si="325">IF(AND(O246&gt;30,O246&lt;=45),G246,0)</f>
        <v>0</v>
      </c>
      <c r="J246" s="4">
        <f t="shared" ref="J246:J273" si="326">IF(AND(O246&gt;45,O246&lt;=60),G246,0)</f>
        <v>0</v>
      </c>
      <c r="K246" s="4">
        <f t="shared" ref="K246:K273" si="327">IF(AND(O246&gt;60,O246&lt;=90),G246,0)</f>
        <v>4815</v>
      </c>
      <c r="L246" s="4">
        <f t="shared" ref="L246:L273" si="328">IF(AND(O246&gt;90,O246&lt;=120),G246,0)</f>
        <v>0</v>
      </c>
      <c r="M246" s="4">
        <f t="shared" ref="M246:M273" si="329">IF(O246&gt;120,G246,0)</f>
        <v>0</v>
      </c>
      <c r="N246" s="4">
        <f t="shared" ref="N246:N273" si="330">IF(O246&gt;60,G246,0)</f>
        <v>4815</v>
      </c>
      <c r="O246" s="5">
        <f t="shared" ref="O246:O273" si="331">Q246-B246</f>
        <v>82</v>
      </c>
      <c r="P246" s="6" t="str">
        <f t="shared" ref="P246:P273" si="332">IF(AND(O246&lt;=30),"30 Days",IF(AND(O246&gt;30,O246&lt;=45),"31 TO 45 Days",IF(AND(O246&gt;45,O246&lt;=60),"46 To 60 Days",IF(AND(O246&gt;60,O246&lt;=90),"61 To 90 Days",IF(AND(O246&gt;90,O246&lt;=120),"91 To 120 Days",IF(AND(O246&gt;120),"Plus120Days",))))))</f>
        <v>61 To 90 Days</v>
      </c>
      <c r="Q246" s="7">
        <v>42855</v>
      </c>
      <c r="R246" s="6" t="s">
        <v>2178</v>
      </c>
      <c r="Y246" s="1" t="str">
        <f>"4580117023"</f>
        <v>4580117023</v>
      </c>
    </row>
    <row r="247" spans="1:25" x14ac:dyDescent="0.2">
      <c r="A247" s="9" t="s">
        <v>1292</v>
      </c>
      <c r="B247" s="10">
        <v>42818</v>
      </c>
      <c r="C247" s="9" t="s">
        <v>1293</v>
      </c>
      <c r="D247" s="9" t="s">
        <v>144</v>
      </c>
      <c r="E247" s="9" t="s">
        <v>2190</v>
      </c>
      <c r="F247" s="9">
        <v>2300000</v>
      </c>
      <c r="G247" s="8">
        <v>4829</v>
      </c>
      <c r="H247" s="4">
        <f t="shared" si="324"/>
        <v>0</v>
      </c>
      <c r="I247" s="4">
        <f t="shared" si="325"/>
        <v>4829</v>
      </c>
      <c r="J247" s="4">
        <f t="shared" si="326"/>
        <v>0</v>
      </c>
      <c r="K247" s="4">
        <f t="shared" si="327"/>
        <v>0</v>
      </c>
      <c r="L247" s="4">
        <f t="shared" si="328"/>
        <v>0</v>
      </c>
      <c r="M247" s="4">
        <f t="shared" si="329"/>
        <v>0</v>
      </c>
      <c r="N247" s="4">
        <f t="shared" si="330"/>
        <v>0</v>
      </c>
      <c r="O247" s="5">
        <f t="shared" si="331"/>
        <v>37</v>
      </c>
      <c r="P247" s="6" t="str">
        <f t="shared" si="332"/>
        <v>31 TO 45 Days</v>
      </c>
      <c r="Q247" s="7">
        <v>42855</v>
      </c>
      <c r="R247" s="6" t="s">
        <v>2178</v>
      </c>
      <c r="Y247" s="1" t="str">
        <f>"4912895982"</f>
        <v>4912895982</v>
      </c>
    </row>
    <row r="248" spans="1:25" x14ac:dyDescent="0.2">
      <c r="A248" s="9" t="s">
        <v>1075</v>
      </c>
      <c r="B248" s="10">
        <v>42812</v>
      </c>
      <c r="C248" s="9" t="s">
        <v>1076</v>
      </c>
      <c r="D248" s="9" t="s">
        <v>140</v>
      </c>
      <c r="E248" s="9" t="s">
        <v>2190</v>
      </c>
      <c r="F248" s="9">
        <v>0</v>
      </c>
      <c r="G248" s="8">
        <v>4830</v>
      </c>
      <c r="H248" s="4">
        <f t="shared" si="324"/>
        <v>0</v>
      </c>
      <c r="I248" s="4">
        <f t="shared" si="325"/>
        <v>4830</v>
      </c>
      <c r="J248" s="4">
        <f t="shared" si="326"/>
        <v>0</v>
      </c>
      <c r="K248" s="4">
        <f t="shared" si="327"/>
        <v>0</v>
      </c>
      <c r="L248" s="4">
        <f t="shared" si="328"/>
        <v>0</v>
      </c>
      <c r="M248" s="4">
        <f t="shared" si="329"/>
        <v>0</v>
      </c>
      <c r="N248" s="4">
        <f t="shared" si="330"/>
        <v>0</v>
      </c>
      <c r="O248" s="5">
        <f t="shared" si="331"/>
        <v>43</v>
      </c>
      <c r="P248" s="6" t="str">
        <f t="shared" si="332"/>
        <v>31 TO 45 Days</v>
      </c>
      <c r="Q248" s="7">
        <v>42855</v>
      </c>
      <c r="R248" s="6" t="s">
        <v>2178</v>
      </c>
      <c r="Y248" s="1" t="str">
        <f>"4711236866"</f>
        <v>4711236866</v>
      </c>
    </row>
    <row r="249" spans="1:25" x14ac:dyDescent="0.2">
      <c r="A249" s="9" t="s">
        <v>1077</v>
      </c>
      <c r="B249" s="10">
        <v>42812</v>
      </c>
      <c r="C249" s="9" t="s">
        <v>1078</v>
      </c>
      <c r="D249" s="9" t="s">
        <v>140</v>
      </c>
      <c r="E249" s="9" t="s">
        <v>2190</v>
      </c>
      <c r="F249" s="9">
        <v>0</v>
      </c>
      <c r="G249" s="8">
        <v>4830</v>
      </c>
      <c r="H249" s="4">
        <f t="shared" si="324"/>
        <v>0</v>
      </c>
      <c r="I249" s="4">
        <f t="shared" si="325"/>
        <v>4830</v>
      </c>
      <c r="J249" s="4">
        <f t="shared" si="326"/>
        <v>0</v>
      </c>
      <c r="K249" s="4">
        <f t="shared" si="327"/>
        <v>0</v>
      </c>
      <c r="L249" s="4">
        <f t="shared" si="328"/>
        <v>0</v>
      </c>
      <c r="M249" s="4">
        <f t="shared" si="329"/>
        <v>0</v>
      </c>
      <c r="N249" s="4">
        <f t="shared" si="330"/>
        <v>0</v>
      </c>
      <c r="O249" s="5">
        <f t="shared" si="331"/>
        <v>43</v>
      </c>
      <c r="P249" s="6" t="str">
        <f t="shared" si="332"/>
        <v>31 TO 45 Days</v>
      </c>
      <c r="Q249" s="7">
        <v>42855</v>
      </c>
      <c r="R249" s="6" t="s">
        <v>2178</v>
      </c>
      <c r="Y249" s="1" t="str">
        <f>"4711235131"</f>
        <v>4711235131</v>
      </c>
    </row>
    <row r="250" spans="1:25" x14ac:dyDescent="0.2">
      <c r="A250" s="9" t="s">
        <v>843</v>
      </c>
      <c r="B250" s="10">
        <v>42795</v>
      </c>
      <c r="C250" s="9" t="s">
        <v>844</v>
      </c>
      <c r="D250" s="9" t="s">
        <v>38</v>
      </c>
      <c r="E250" s="9" t="s">
        <v>2190</v>
      </c>
      <c r="F250" s="9">
        <v>700000</v>
      </c>
      <c r="G250" s="8">
        <v>4832</v>
      </c>
      <c r="H250" s="4">
        <f t="shared" si="324"/>
        <v>0</v>
      </c>
      <c r="I250" s="4">
        <f t="shared" si="325"/>
        <v>0</v>
      </c>
      <c r="J250" s="4">
        <f t="shared" si="326"/>
        <v>4832</v>
      </c>
      <c r="K250" s="4">
        <f t="shared" si="327"/>
        <v>0</v>
      </c>
      <c r="L250" s="4">
        <f t="shared" si="328"/>
        <v>0</v>
      </c>
      <c r="M250" s="4">
        <f t="shared" si="329"/>
        <v>0</v>
      </c>
      <c r="N250" s="4">
        <f t="shared" si="330"/>
        <v>0</v>
      </c>
      <c r="O250" s="5">
        <f t="shared" si="331"/>
        <v>60</v>
      </c>
      <c r="P250" s="6" t="str">
        <f t="shared" si="332"/>
        <v>46 To 60 Days</v>
      </c>
      <c r="Q250" s="7">
        <v>42855</v>
      </c>
      <c r="R250" s="6" t="s">
        <v>2178</v>
      </c>
      <c r="Y250" s="1" t="str">
        <f>"417267968"</f>
        <v>417267968</v>
      </c>
    </row>
    <row r="251" spans="1:25" x14ac:dyDescent="0.2">
      <c r="A251" s="9" t="s">
        <v>1448</v>
      </c>
      <c r="B251" s="10">
        <v>42824</v>
      </c>
      <c r="C251" s="9" t="s">
        <v>1449</v>
      </c>
      <c r="D251" s="9" t="s">
        <v>38</v>
      </c>
      <c r="E251" s="9" t="s">
        <v>2190</v>
      </c>
      <c r="F251" s="9">
        <v>700000</v>
      </c>
      <c r="G251" s="8">
        <v>4833</v>
      </c>
      <c r="H251" s="4">
        <f t="shared" si="324"/>
        <v>0</v>
      </c>
      <c r="I251" s="4">
        <f t="shared" si="325"/>
        <v>4833</v>
      </c>
      <c r="J251" s="4">
        <f t="shared" si="326"/>
        <v>0</v>
      </c>
      <c r="K251" s="4">
        <f t="shared" si="327"/>
        <v>0</v>
      </c>
      <c r="L251" s="4">
        <f t="shared" si="328"/>
        <v>0</v>
      </c>
      <c r="M251" s="4">
        <f t="shared" si="329"/>
        <v>0</v>
      </c>
      <c r="N251" s="4">
        <f t="shared" si="330"/>
        <v>0</v>
      </c>
      <c r="O251" s="5">
        <f t="shared" si="331"/>
        <v>31</v>
      </c>
      <c r="P251" s="6" t="str">
        <f t="shared" si="332"/>
        <v>31 TO 45 Days</v>
      </c>
      <c r="Q251" s="7">
        <v>42855</v>
      </c>
      <c r="R251" s="6" t="s">
        <v>2178</v>
      </c>
      <c r="Y251" s="1" t="str">
        <f>"417268320"</f>
        <v>417268320</v>
      </c>
    </row>
    <row r="252" spans="1:25" x14ac:dyDescent="0.2">
      <c r="A252" s="9" t="s">
        <v>762</v>
      </c>
      <c r="B252" s="10">
        <v>42793</v>
      </c>
      <c r="C252" s="9" t="s">
        <v>763</v>
      </c>
      <c r="D252" s="9" t="s">
        <v>140</v>
      </c>
      <c r="E252" s="9" t="s">
        <v>2190</v>
      </c>
      <c r="F252" s="9">
        <v>0</v>
      </c>
      <c r="G252" s="8">
        <v>4833</v>
      </c>
      <c r="H252" s="4">
        <f t="shared" si="324"/>
        <v>0</v>
      </c>
      <c r="I252" s="4">
        <f t="shared" si="325"/>
        <v>0</v>
      </c>
      <c r="J252" s="4">
        <f t="shared" si="326"/>
        <v>0</v>
      </c>
      <c r="K252" s="4">
        <f t="shared" si="327"/>
        <v>4833</v>
      </c>
      <c r="L252" s="4">
        <f t="shared" si="328"/>
        <v>0</v>
      </c>
      <c r="M252" s="4">
        <f t="shared" si="329"/>
        <v>0</v>
      </c>
      <c r="N252" s="4">
        <f t="shared" si="330"/>
        <v>4833</v>
      </c>
      <c r="O252" s="5">
        <f t="shared" si="331"/>
        <v>62</v>
      </c>
      <c r="P252" s="6" t="str">
        <f t="shared" si="332"/>
        <v>61 To 90 Days</v>
      </c>
      <c r="Q252" s="7">
        <v>42855</v>
      </c>
      <c r="R252" s="6" t="s">
        <v>2178</v>
      </c>
      <c r="Y252" s="1" t="str">
        <f>"4580118208"</f>
        <v>4580118208</v>
      </c>
    </row>
    <row r="253" spans="1:25" x14ac:dyDescent="0.2">
      <c r="A253" s="9" t="s">
        <v>1450</v>
      </c>
      <c r="B253" s="10">
        <v>42824</v>
      </c>
      <c r="C253" s="9" t="s">
        <v>1451</v>
      </c>
      <c r="D253" s="9" t="s">
        <v>38</v>
      </c>
      <c r="E253" s="9" t="s">
        <v>2190</v>
      </c>
      <c r="F253" s="9">
        <v>700000</v>
      </c>
      <c r="G253" s="8">
        <v>4835</v>
      </c>
      <c r="H253" s="4">
        <f t="shared" si="324"/>
        <v>0</v>
      </c>
      <c r="I253" s="4">
        <f t="shared" si="325"/>
        <v>4835</v>
      </c>
      <c r="J253" s="4">
        <f t="shared" si="326"/>
        <v>0</v>
      </c>
      <c r="K253" s="4">
        <f t="shared" si="327"/>
        <v>0</v>
      </c>
      <c r="L253" s="4">
        <f t="shared" si="328"/>
        <v>0</v>
      </c>
      <c r="M253" s="4">
        <f t="shared" si="329"/>
        <v>0</v>
      </c>
      <c r="N253" s="4">
        <f t="shared" si="330"/>
        <v>0</v>
      </c>
      <c r="O253" s="5">
        <f t="shared" si="331"/>
        <v>31</v>
      </c>
      <c r="P253" s="6" t="str">
        <f t="shared" si="332"/>
        <v>31 TO 45 Days</v>
      </c>
      <c r="Q253" s="7">
        <v>42855</v>
      </c>
      <c r="R253" s="6" t="s">
        <v>2178</v>
      </c>
      <c r="Y253" s="1" t="str">
        <f>"417268308"</f>
        <v>417268308</v>
      </c>
    </row>
    <row r="254" spans="1:25" x14ac:dyDescent="0.2">
      <c r="A254" s="9" t="s">
        <v>190</v>
      </c>
      <c r="B254" s="10">
        <v>42728</v>
      </c>
      <c r="C254" s="9" t="s">
        <v>191</v>
      </c>
      <c r="D254" s="9" t="s">
        <v>133</v>
      </c>
      <c r="E254" s="9" t="s">
        <v>2190</v>
      </c>
      <c r="F254" s="9">
        <v>20000000</v>
      </c>
      <c r="G254" s="8">
        <v>4851</v>
      </c>
      <c r="H254" s="4">
        <f t="shared" si="324"/>
        <v>0</v>
      </c>
      <c r="I254" s="4">
        <f t="shared" si="325"/>
        <v>0</v>
      </c>
      <c r="J254" s="4">
        <f t="shared" si="326"/>
        <v>0</v>
      </c>
      <c r="K254" s="4">
        <f t="shared" si="327"/>
        <v>0</v>
      </c>
      <c r="L254" s="4">
        <f t="shared" si="328"/>
        <v>0</v>
      </c>
      <c r="M254" s="4">
        <f t="shared" si="329"/>
        <v>4851</v>
      </c>
      <c r="N254" s="4">
        <f t="shared" si="330"/>
        <v>4851</v>
      </c>
      <c r="O254" s="5">
        <f t="shared" si="331"/>
        <v>127</v>
      </c>
      <c r="P254" s="6" t="str">
        <f t="shared" si="332"/>
        <v>Plus120Days</v>
      </c>
      <c r="Q254" s="7">
        <v>42855</v>
      </c>
      <c r="R254" s="6" t="s">
        <v>2178</v>
      </c>
      <c r="V254" s="1" t="s">
        <v>13</v>
      </c>
      <c r="Y254" s="1" t="str">
        <f>"4711217394"</f>
        <v>4711217394</v>
      </c>
    </row>
    <row r="255" spans="1:25" x14ac:dyDescent="0.2">
      <c r="A255" s="9" t="s">
        <v>2063</v>
      </c>
      <c r="B255" s="10">
        <v>42837</v>
      </c>
      <c r="C255" s="9" t="s">
        <v>2064</v>
      </c>
      <c r="D255" s="9" t="s">
        <v>144</v>
      </c>
      <c r="E255" s="9" t="s">
        <v>2190</v>
      </c>
      <c r="F255" s="9">
        <v>2300000</v>
      </c>
      <c r="G255" s="8">
        <v>4855</v>
      </c>
      <c r="H255" s="4">
        <f t="shared" si="324"/>
        <v>4855</v>
      </c>
      <c r="I255" s="4">
        <f t="shared" si="325"/>
        <v>0</v>
      </c>
      <c r="J255" s="4">
        <f t="shared" si="326"/>
        <v>0</v>
      </c>
      <c r="K255" s="4">
        <f t="shared" si="327"/>
        <v>0</v>
      </c>
      <c r="L255" s="4">
        <f t="shared" si="328"/>
        <v>0</v>
      </c>
      <c r="M255" s="4">
        <f t="shared" si="329"/>
        <v>0</v>
      </c>
      <c r="N255" s="4">
        <f t="shared" si="330"/>
        <v>0</v>
      </c>
      <c r="O255" s="5">
        <f t="shared" si="331"/>
        <v>18</v>
      </c>
      <c r="P255" s="6" t="str">
        <f t="shared" si="332"/>
        <v>30 Days</v>
      </c>
      <c r="Q255" s="7">
        <v>42855</v>
      </c>
      <c r="R255" s="6" t="str">
        <f>VLOOKUP(A255:A4129,[1]BOM_INV_OPERATOR_DETAILS_OUTPUT!$A$2:$D$1233,4,FALSE)</f>
        <v>AI</v>
      </c>
      <c r="Y255" s="1" t="str">
        <f>"4912916538"</f>
        <v>4912916538</v>
      </c>
    </row>
    <row r="256" spans="1:25" x14ac:dyDescent="0.2">
      <c r="A256" s="9" t="s">
        <v>2057</v>
      </c>
      <c r="B256" s="10">
        <v>42837</v>
      </c>
      <c r="C256" s="9" t="s">
        <v>2058</v>
      </c>
      <c r="D256" s="9" t="s">
        <v>144</v>
      </c>
      <c r="E256" s="9" t="s">
        <v>2190</v>
      </c>
      <c r="F256" s="9">
        <v>2300000</v>
      </c>
      <c r="G256" s="8">
        <v>4857</v>
      </c>
      <c r="H256" s="4">
        <f t="shared" si="324"/>
        <v>4857</v>
      </c>
      <c r="I256" s="4">
        <f t="shared" si="325"/>
        <v>0</v>
      </c>
      <c r="J256" s="4">
        <f t="shared" si="326"/>
        <v>0</v>
      </c>
      <c r="K256" s="4">
        <f t="shared" si="327"/>
        <v>0</v>
      </c>
      <c r="L256" s="4">
        <f t="shared" si="328"/>
        <v>0</v>
      </c>
      <c r="M256" s="4">
        <f t="shared" si="329"/>
        <v>0</v>
      </c>
      <c r="N256" s="4">
        <f t="shared" si="330"/>
        <v>0</v>
      </c>
      <c r="O256" s="5">
        <f t="shared" si="331"/>
        <v>18</v>
      </c>
      <c r="P256" s="6" t="str">
        <f t="shared" si="332"/>
        <v>30 Days</v>
      </c>
      <c r="Q256" s="7">
        <v>42855</v>
      </c>
      <c r="R256" s="6" t="str">
        <f>VLOOKUP(A256:A4130,[1]BOM_INV_OPERATOR_DETAILS_OUTPUT!$A$2:$D$1233,4,FALSE)</f>
        <v>AI</v>
      </c>
      <c r="Y256" s="1" t="str">
        <f>"4912913059"</f>
        <v>4912913059</v>
      </c>
    </row>
    <row r="257" spans="1:25" x14ac:dyDescent="0.2">
      <c r="A257" s="9" t="s">
        <v>1152</v>
      </c>
      <c r="B257" s="10">
        <v>42815</v>
      </c>
      <c r="C257" s="9" t="s">
        <v>1153</v>
      </c>
      <c r="D257" s="9" t="s">
        <v>140</v>
      </c>
      <c r="E257" s="9" t="s">
        <v>2190</v>
      </c>
      <c r="F257" s="9">
        <v>0</v>
      </c>
      <c r="G257" s="8">
        <v>4857</v>
      </c>
      <c r="H257" s="4">
        <f t="shared" si="324"/>
        <v>0</v>
      </c>
      <c r="I257" s="4">
        <f t="shared" si="325"/>
        <v>4857</v>
      </c>
      <c r="J257" s="4">
        <f t="shared" si="326"/>
        <v>0</v>
      </c>
      <c r="K257" s="4">
        <f t="shared" si="327"/>
        <v>0</v>
      </c>
      <c r="L257" s="4">
        <f t="shared" si="328"/>
        <v>0</v>
      </c>
      <c r="M257" s="4">
        <f t="shared" si="329"/>
        <v>0</v>
      </c>
      <c r="N257" s="4">
        <f t="shared" si="330"/>
        <v>0</v>
      </c>
      <c r="O257" s="5">
        <f t="shared" si="331"/>
        <v>40</v>
      </c>
      <c r="P257" s="6" t="str">
        <f t="shared" si="332"/>
        <v>31 TO 45 Days</v>
      </c>
      <c r="Q257" s="7">
        <v>42855</v>
      </c>
      <c r="R257" s="6" t="s">
        <v>2178</v>
      </c>
      <c r="Y257" s="1" t="str">
        <f>"4580119015"</f>
        <v>4580119015</v>
      </c>
    </row>
    <row r="258" spans="1:25" x14ac:dyDescent="0.2">
      <c r="A258" s="9" t="s">
        <v>1288</v>
      </c>
      <c r="B258" s="10">
        <v>42818</v>
      </c>
      <c r="C258" s="9" t="s">
        <v>1289</v>
      </c>
      <c r="D258" s="9" t="s">
        <v>144</v>
      </c>
      <c r="E258" s="9" t="s">
        <v>2190</v>
      </c>
      <c r="F258" s="9">
        <v>2300000</v>
      </c>
      <c r="G258" s="8">
        <v>4858</v>
      </c>
      <c r="H258" s="4">
        <f t="shared" si="324"/>
        <v>0</v>
      </c>
      <c r="I258" s="4">
        <f t="shared" si="325"/>
        <v>4858</v>
      </c>
      <c r="J258" s="4">
        <f t="shared" si="326"/>
        <v>0</v>
      </c>
      <c r="K258" s="4">
        <f t="shared" si="327"/>
        <v>0</v>
      </c>
      <c r="L258" s="4">
        <f t="shared" si="328"/>
        <v>0</v>
      </c>
      <c r="M258" s="4">
        <f t="shared" si="329"/>
        <v>0</v>
      </c>
      <c r="N258" s="4">
        <f t="shared" si="330"/>
        <v>0</v>
      </c>
      <c r="O258" s="5">
        <f t="shared" si="331"/>
        <v>37</v>
      </c>
      <c r="P258" s="6" t="str">
        <f t="shared" si="332"/>
        <v>31 TO 45 Days</v>
      </c>
      <c r="Q258" s="7">
        <v>42855</v>
      </c>
      <c r="R258" s="6" t="s">
        <v>2178</v>
      </c>
      <c r="Y258" s="1" t="str">
        <f>"4912897910"</f>
        <v>4912897910</v>
      </c>
    </row>
    <row r="259" spans="1:25" x14ac:dyDescent="0.2">
      <c r="A259" s="9" t="s">
        <v>1497</v>
      </c>
      <c r="B259" s="10">
        <v>42824</v>
      </c>
      <c r="C259" s="9" t="s">
        <v>1498</v>
      </c>
      <c r="D259" s="9" t="s">
        <v>144</v>
      </c>
      <c r="E259" s="9" t="s">
        <v>2190</v>
      </c>
      <c r="F259" s="9">
        <v>2300000</v>
      </c>
      <c r="G259" s="8">
        <v>4858</v>
      </c>
      <c r="H259" s="4">
        <f t="shared" si="324"/>
        <v>0</v>
      </c>
      <c r="I259" s="4">
        <f t="shared" si="325"/>
        <v>4858</v>
      </c>
      <c r="J259" s="4">
        <f t="shared" si="326"/>
        <v>0</v>
      </c>
      <c r="K259" s="4">
        <f t="shared" si="327"/>
        <v>0</v>
      </c>
      <c r="L259" s="4">
        <f t="shared" si="328"/>
        <v>0</v>
      </c>
      <c r="M259" s="4">
        <f t="shared" si="329"/>
        <v>0</v>
      </c>
      <c r="N259" s="4">
        <f t="shared" si="330"/>
        <v>0</v>
      </c>
      <c r="O259" s="5">
        <f t="shared" si="331"/>
        <v>31</v>
      </c>
      <c r="P259" s="6" t="str">
        <f t="shared" si="332"/>
        <v>31 TO 45 Days</v>
      </c>
      <c r="Q259" s="7">
        <v>42855</v>
      </c>
      <c r="R259" s="6" t="s">
        <v>2178</v>
      </c>
      <c r="Y259" s="1" t="str">
        <f>"4912905607"</f>
        <v>4912905607</v>
      </c>
    </row>
    <row r="260" spans="1:25" x14ac:dyDescent="0.2">
      <c r="A260" s="9" t="s">
        <v>849</v>
      </c>
      <c r="B260" s="10">
        <v>42795</v>
      </c>
      <c r="C260" s="9" t="s">
        <v>850</v>
      </c>
      <c r="D260" s="9" t="s">
        <v>38</v>
      </c>
      <c r="E260" s="9" t="s">
        <v>2190</v>
      </c>
      <c r="F260" s="9">
        <v>700000</v>
      </c>
      <c r="G260" s="8">
        <v>4859</v>
      </c>
      <c r="H260" s="4">
        <f t="shared" si="324"/>
        <v>0</v>
      </c>
      <c r="I260" s="4">
        <f t="shared" si="325"/>
        <v>0</v>
      </c>
      <c r="J260" s="4">
        <f t="shared" si="326"/>
        <v>4859</v>
      </c>
      <c r="K260" s="4">
        <f t="shared" si="327"/>
        <v>0</v>
      </c>
      <c r="L260" s="4">
        <f t="shared" si="328"/>
        <v>0</v>
      </c>
      <c r="M260" s="4">
        <f t="shared" si="329"/>
        <v>0</v>
      </c>
      <c r="N260" s="4">
        <f t="shared" si="330"/>
        <v>0</v>
      </c>
      <c r="O260" s="5">
        <f t="shared" si="331"/>
        <v>60</v>
      </c>
      <c r="P260" s="6" t="str">
        <f t="shared" si="332"/>
        <v>46 To 60 Days</v>
      </c>
      <c r="Q260" s="7">
        <v>42855</v>
      </c>
      <c r="R260" s="6" t="s">
        <v>2178</v>
      </c>
      <c r="Y260" s="1" t="str">
        <f>"417268122"</f>
        <v>417268122</v>
      </c>
    </row>
    <row r="261" spans="1:25" x14ac:dyDescent="0.2">
      <c r="A261" s="9" t="s">
        <v>413</v>
      </c>
      <c r="B261" s="10">
        <v>42763</v>
      </c>
      <c r="C261" s="9" t="s">
        <v>414</v>
      </c>
      <c r="D261" s="9" t="s">
        <v>140</v>
      </c>
      <c r="E261" s="9" t="s">
        <v>2190</v>
      </c>
      <c r="F261" s="9">
        <v>0</v>
      </c>
      <c r="G261" s="8">
        <v>4865</v>
      </c>
      <c r="H261" s="4">
        <f t="shared" si="324"/>
        <v>0</v>
      </c>
      <c r="I261" s="4">
        <f t="shared" si="325"/>
        <v>0</v>
      </c>
      <c r="J261" s="4">
        <f t="shared" si="326"/>
        <v>0</v>
      </c>
      <c r="K261" s="4">
        <f t="shared" si="327"/>
        <v>0</v>
      </c>
      <c r="L261" s="4">
        <f t="shared" si="328"/>
        <v>4865</v>
      </c>
      <c r="M261" s="4">
        <f t="shared" si="329"/>
        <v>0</v>
      </c>
      <c r="N261" s="4">
        <f t="shared" si="330"/>
        <v>4865</v>
      </c>
      <c r="O261" s="5">
        <f t="shared" si="331"/>
        <v>92</v>
      </c>
      <c r="P261" s="6" t="str">
        <f t="shared" si="332"/>
        <v>91 To 120 Days</v>
      </c>
      <c r="Q261" s="7">
        <v>42855</v>
      </c>
      <c r="R261" s="6" t="s">
        <v>2178</v>
      </c>
      <c r="Y261" s="1" t="str">
        <f>"4711224560"</f>
        <v>4711224560</v>
      </c>
    </row>
    <row r="262" spans="1:25" x14ac:dyDescent="0.2">
      <c r="A262" s="9" t="s">
        <v>439</v>
      </c>
      <c r="B262" s="10">
        <v>42767</v>
      </c>
      <c r="C262" s="9" t="s">
        <v>440</v>
      </c>
      <c r="D262" s="9" t="s">
        <v>140</v>
      </c>
      <c r="E262" s="9" t="s">
        <v>2190</v>
      </c>
      <c r="F262" s="9">
        <v>0</v>
      </c>
      <c r="G262" s="8">
        <v>4865</v>
      </c>
      <c r="H262" s="4">
        <f t="shared" si="324"/>
        <v>0</v>
      </c>
      <c r="I262" s="4">
        <f t="shared" si="325"/>
        <v>0</v>
      </c>
      <c r="J262" s="4">
        <f t="shared" si="326"/>
        <v>0</v>
      </c>
      <c r="K262" s="4">
        <f t="shared" si="327"/>
        <v>4865</v>
      </c>
      <c r="L262" s="4">
        <f t="shared" si="328"/>
        <v>0</v>
      </c>
      <c r="M262" s="4">
        <f t="shared" si="329"/>
        <v>0</v>
      </c>
      <c r="N262" s="4">
        <f t="shared" si="330"/>
        <v>4865</v>
      </c>
      <c r="O262" s="5">
        <f t="shared" si="331"/>
        <v>88</v>
      </c>
      <c r="P262" s="6" t="str">
        <f t="shared" si="332"/>
        <v>61 To 90 Days</v>
      </c>
      <c r="Q262" s="7">
        <v>42855</v>
      </c>
      <c r="R262" s="6" t="s">
        <v>2178</v>
      </c>
      <c r="Y262" s="1" t="str">
        <f>"4711225952"</f>
        <v>4711225952</v>
      </c>
    </row>
    <row r="263" spans="1:25" x14ac:dyDescent="0.2">
      <c r="A263" s="9" t="s">
        <v>894</v>
      </c>
      <c r="B263" s="10">
        <v>42798</v>
      </c>
      <c r="C263" s="9" t="s">
        <v>895</v>
      </c>
      <c r="D263" s="9" t="s">
        <v>38</v>
      </c>
      <c r="E263" s="9" t="s">
        <v>2190</v>
      </c>
      <c r="F263" s="9">
        <v>700000</v>
      </c>
      <c r="G263" s="8">
        <v>4866</v>
      </c>
      <c r="H263" s="4">
        <f t="shared" si="324"/>
        <v>0</v>
      </c>
      <c r="I263" s="4">
        <f t="shared" si="325"/>
        <v>0</v>
      </c>
      <c r="J263" s="4">
        <f t="shared" si="326"/>
        <v>4866</v>
      </c>
      <c r="K263" s="4">
        <f t="shared" si="327"/>
        <v>0</v>
      </c>
      <c r="L263" s="4">
        <f t="shared" si="328"/>
        <v>0</v>
      </c>
      <c r="M263" s="4">
        <f t="shared" si="329"/>
        <v>0</v>
      </c>
      <c r="N263" s="4">
        <f t="shared" si="330"/>
        <v>0</v>
      </c>
      <c r="O263" s="5">
        <f t="shared" si="331"/>
        <v>57</v>
      </c>
      <c r="P263" s="6" t="str">
        <f t="shared" si="332"/>
        <v>46 To 60 Days</v>
      </c>
      <c r="Q263" s="7">
        <v>42855</v>
      </c>
      <c r="R263" s="6" t="s">
        <v>2178</v>
      </c>
      <c r="Y263" s="1" t="str">
        <f>"417268218"</f>
        <v>417268218</v>
      </c>
    </row>
    <row r="264" spans="1:25" x14ac:dyDescent="0.2">
      <c r="A264" s="9" t="s">
        <v>559</v>
      </c>
      <c r="B264" s="10">
        <v>42779</v>
      </c>
      <c r="C264" s="9" t="s">
        <v>560</v>
      </c>
      <c r="D264" s="9" t="s">
        <v>161</v>
      </c>
      <c r="E264" s="9" t="s">
        <v>2190</v>
      </c>
      <c r="F264" s="9">
        <v>0</v>
      </c>
      <c r="G264" s="8">
        <v>4872</v>
      </c>
      <c r="H264" s="4">
        <f t="shared" si="324"/>
        <v>0</v>
      </c>
      <c r="I264" s="4">
        <f t="shared" si="325"/>
        <v>0</v>
      </c>
      <c r="J264" s="4">
        <f t="shared" si="326"/>
        <v>0</v>
      </c>
      <c r="K264" s="4">
        <f t="shared" si="327"/>
        <v>4872</v>
      </c>
      <c r="L264" s="4">
        <f t="shared" si="328"/>
        <v>0</v>
      </c>
      <c r="M264" s="4">
        <f t="shared" si="329"/>
        <v>0</v>
      </c>
      <c r="N264" s="4">
        <f t="shared" si="330"/>
        <v>4872</v>
      </c>
      <c r="O264" s="5">
        <f t="shared" si="331"/>
        <v>76</v>
      </c>
      <c r="P264" s="6" t="str">
        <f t="shared" si="332"/>
        <v>61 To 90 Days</v>
      </c>
      <c r="Q264" s="7">
        <v>42855</v>
      </c>
      <c r="R264" s="6" t="s">
        <v>2178</v>
      </c>
      <c r="Y264" s="1" t="str">
        <f>"4711228019"</f>
        <v>4711228019</v>
      </c>
    </row>
    <row r="265" spans="1:25" x14ac:dyDescent="0.2">
      <c r="A265" s="9" t="s">
        <v>733</v>
      </c>
      <c r="B265" s="10">
        <v>42791</v>
      </c>
      <c r="C265" s="9" t="s">
        <v>734</v>
      </c>
      <c r="D265" s="9" t="s">
        <v>161</v>
      </c>
      <c r="E265" s="9" t="s">
        <v>2190</v>
      </c>
      <c r="F265" s="9">
        <v>0</v>
      </c>
      <c r="G265" s="8">
        <v>4887</v>
      </c>
      <c r="H265" s="4">
        <f t="shared" si="324"/>
        <v>0</v>
      </c>
      <c r="I265" s="4">
        <f t="shared" si="325"/>
        <v>0</v>
      </c>
      <c r="J265" s="4">
        <f t="shared" si="326"/>
        <v>0</v>
      </c>
      <c r="K265" s="4">
        <f t="shared" si="327"/>
        <v>4887</v>
      </c>
      <c r="L265" s="4">
        <f t="shared" si="328"/>
        <v>0</v>
      </c>
      <c r="M265" s="4">
        <f t="shared" si="329"/>
        <v>0</v>
      </c>
      <c r="N265" s="4">
        <f t="shared" si="330"/>
        <v>4887</v>
      </c>
      <c r="O265" s="5">
        <f t="shared" si="331"/>
        <v>64</v>
      </c>
      <c r="P265" s="6" t="str">
        <f t="shared" si="332"/>
        <v>61 To 90 Days</v>
      </c>
      <c r="Q265" s="7">
        <v>42855</v>
      </c>
      <c r="R265" s="6" t="s">
        <v>2178</v>
      </c>
      <c r="Y265" s="1" t="str">
        <f>"4711227327"</f>
        <v>4711227327</v>
      </c>
    </row>
    <row r="266" spans="1:25" x14ac:dyDescent="0.2">
      <c r="A266" s="9" t="s">
        <v>1284</v>
      </c>
      <c r="B266" s="10">
        <v>42818</v>
      </c>
      <c r="C266" s="9" t="s">
        <v>1285</v>
      </c>
      <c r="D266" s="9" t="s">
        <v>144</v>
      </c>
      <c r="E266" s="9" t="s">
        <v>2190</v>
      </c>
      <c r="F266" s="9">
        <v>2300000</v>
      </c>
      <c r="G266" s="8">
        <v>4891</v>
      </c>
      <c r="H266" s="4">
        <f t="shared" si="324"/>
        <v>0</v>
      </c>
      <c r="I266" s="4">
        <f t="shared" si="325"/>
        <v>4891</v>
      </c>
      <c r="J266" s="4">
        <f t="shared" si="326"/>
        <v>0</v>
      </c>
      <c r="K266" s="4">
        <f t="shared" si="327"/>
        <v>0</v>
      </c>
      <c r="L266" s="4">
        <f t="shared" si="328"/>
        <v>0</v>
      </c>
      <c r="M266" s="4">
        <f t="shared" si="329"/>
        <v>0</v>
      </c>
      <c r="N266" s="4">
        <f t="shared" si="330"/>
        <v>0</v>
      </c>
      <c r="O266" s="5">
        <f t="shared" si="331"/>
        <v>37</v>
      </c>
      <c r="P266" s="6" t="str">
        <f t="shared" si="332"/>
        <v>31 TO 45 Days</v>
      </c>
      <c r="Q266" s="7">
        <v>42855</v>
      </c>
      <c r="R266" s="6" t="s">
        <v>2178</v>
      </c>
      <c r="Y266" s="1" t="str">
        <f>"4912898461"</f>
        <v>4912898461</v>
      </c>
    </row>
    <row r="267" spans="1:25" x14ac:dyDescent="0.2">
      <c r="A267" s="9" t="s">
        <v>630</v>
      </c>
      <c r="B267" s="10">
        <v>42787</v>
      </c>
      <c r="C267" s="9" t="s">
        <v>631</v>
      </c>
      <c r="D267" s="9" t="s">
        <v>161</v>
      </c>
      <c r="E267" s="9" t="s">
        <v>2190</v>
      </c>
      <c r="F267" s="9">
        <v>0</v>
      </c>
      <c r="G267" s="8">
        <v>4892</v>
      </c>
      <c r="H267" s="4">
        <f t="shared" si="324"/>
        <v>0</v>
      </c>
      <c r="I267" s="4">
        <f t="shared" si="325"/>
        <v>0</v>
      </c>
      <c r="J267" s="4">
        <f t="shared" si="326"/>
        <v>0</v>
      </c>
      <c r="K267" s="4">
        <f t="shared" si="327"/>
        <v>4892</v>
      </c>
      <c r="L267" s="4">
        <f t="shared" si="328"/>
        <v>0</v>
      </c>
      <c r="M267" s="4">
        <f t="shared" si="329"/>
        <v>0</v>
      </c>
      <c r="N267" s="4">
        <f t="shared" si="330"/>
        <v>4892</v>
      </c>
      <c r="O267" s="5">
        <f t="shared" si="331"/>
        <v>68</v>
      </c>
      <c r="P267" s="6" t="str">
        <f t="shared" si="332"/>
        <v>61 To 90 Days</v>
      </c>
      <c r="Q267" s="7">
        <v>42855</v>
      </c>
      <c r="R267" s="6" t="s">
        <v>2178</v>
      </c>
      <c r="Y267" s="1" t="str">
        <f>"4711229044"</f>
        <v>4711229044</v>
      </c>
    </row>
    <row r="268" spans="1:25" x14ac:dyDescent="0.2">
      <c r="A268" s="9" t="s">
        <v>375</v>
      </c>
      <c r="B268" s="10">
        <v>42759</v>
      </c>
      <c r="C268" s="9" t="s">
        <v>376</v>
      </c>
      <c r="D268" s="9" t="s">
        <v>161</v>
      </c>
      <c r="E268" s="9" t="s">
        <v>2190</v>
      </c>
      <c r="F268" s="9">
        <v>0</v>
      </c>
      <c r="G268" s="8">
        <v>4893</v>
      </c>
      <c r="H268" s="4">
        <f t="shared" si="324"/>
        <v>0</v>
      </c>
      <c r="I268" s="4">
        <f t="shared" si="325"/>
        <v>0</v>
      </c>
      <c r="J268" s="4">
        <f t="shared" si="326"/>
        <v>0</v>
      </c>
      <c r="K268" s="4">
        <f t="shared" si="327"/>
        <v>0</v>
      </c>
      <c r="L268" s="4">
        <f t="shared" si="328"/>
        <v>4893</v>
      </c>
      <c r="M268" s="4">
        <f t="shared" si="329"/>
        <v>0</v>
      </c>
      <c r="N268" s="4">
        <f t="shared" si="330"/>
        <v>4893</v>
      </c>
      <c r="O268" s="5">
        <f t="shared" si="331"/>
        <v>96</v>
      </c>
      <c r="P268" s="6" t="str">
        <f t="shared" si="332"/>
        <v>91 To 120 Days</v>
      </c>
      <c r="Q268" s="7">
        <v>42855</v>
      </c>
      <c r="R268" s="6" t="s">
        <v>2178</v>
      </c>
      <c r="Y268" s="1" t="str">
        <f>"4711222716"</f>
        <v>4711222716</v>
      </c>
    </row>
    <row r="269" spans="1:25" x14ac:dyDescent="0.2">
      <c r="A269" s="9" t="s">
        <v>851</v>
      </c>
      <c r="B269" s="10">
        <v>42795</v>
      </c>
      <c r="C269" s="9" t="s">
        <v>852</v>
      </c>
      <c r="D269" s="9" t="s">
        <v>38</v>
      </c>
      <c r="E269" s="9" t="s">
        <v>2190</v>
      </c>
      <c r="F269" s="9">
        <v>700000</v>
      </c>
      <c r="G269" s="8">
        <v>4911</v>
      </c>
      <c r="H269" s="4">
        <f t="shared" si="324"/>
        <v>0</v>
      </c>
      <c r="I269" s="4">
        <f t="shared" si="325"/>
        <v>0</v>
      </c>
      <c r="J269" s="4">
        <f t="shared" si="326"/>
        <v>4911</v>
      </c>
      <c r="K269" s="4">
        <f t="shared" si="327"/>
        <v>0</v>
      </c>
      <c r="L269" s="4">
        <f t="shared" si="328"/>
        <v>0</v>
      </c>
      <c r="M269" s="4">
        <f t="shared" si="329"/>
        <v>0</v>
      </c>
      <c r="N269" s="4">
        <f t="shared" si="330"/>
        <v>0</v>
      </c>
      <c r="O269" s="5">
        <f t="shared" si="331"/>
        <v>60</v>
      </c>
      <c r="P269" s="6" t="str">
        <f t="shared" si="332"/>
        <v>46 To 60 Days</v>
      </c>
      <c r="Q269" s="7">
        <v>42855</v>
      </c>
      <c r="R269" s="6" t="s">
        <v>2178</v>
      </c>
      <c r="Y269" s="1" t="str">
        <f>"417268144"</f>
        <v>417268144</v>
      </c>
    </row>
    <row r="270" spans="1:25" x14ac:dyDescent="0.2">
      <c r="A270" s="9" t="s">
        <v>391</v>
      </c>
      <c r="B270" s="10">
        <v>42762</v>
      </c>
      <c r="C270" s="9" t="s">
        <v>392</v>
      </c>
      <c r="D270" s="9" t="s">
        <v>270</v>
      </c>
      <c r="E270" s="9" t="s">
        <v>2190</v>
      </c>
      <c r="F270" s="9">
        <v>0</v>
      </c>
      <c r="G270" s="8">
        <v>4913</v>
      </c>
      <c r="H270" s="4">
        <f t="shared" si="324"/>
        <v>0</v>
      </c>
      <c r="I270" s="4">
        <f t="shared" si="325"/>
        <v>0</v>
      </c>
      <c r="J270" s="4">
        <f t="shared" si="326"/>
        <v>0</v>
      </c>
      <c r="K270" s="4">
        <f t="shared" si="327"/>
        <v>0</v>
      </c>
      <c r="L270" s="4">
        <f t="shared" si="328"/>
        <v>4913</v>
      </c>
      <c r="M270" s="4">
        <f t="shared" si="329"/>
        <v>0</v>
      </c>
      <c r="N270" s="4">
        <f t="shared" si="330"/>
        <v>4913</v>
      </c>
      <c r="O270" s="5">
        <f t="shared" si="331"/>
        <v>93</v>
      </c>
      <c r="P270" s="6" t="str">
        <f t="shared" si="332"/>
        <v>91 To 120 Days</v>
      </c>
      <c r="Q270" s="7">
        <v>42855</v>
      </c>
      <c r="R270" s="6" t="s">
        <v>2178</v>
      </c>
      <c r="Y270" s="1" t="str">
        <f>"4570267761"</f>
        <v>4570267761</v>
      </c>
    </row>
    <row r="271" spans="1:25" x14ac:dyDescent="0.2">
      <c r="A271" s="9" t="s">
        <v>1322</v>
      </c>
      <c r="B271" s="10">
        <v>42819</v>
      </c>
      <c r="C271" s="9" t="s">
        <v>1323</v>
      </c>
      <c r="D271" s="9" t="s">
        <v>161</v>
      </c>
      <c r="E271" s="9" t="s">
        <v>2190</v>
      </c>
      <c r="F271" s="9">
        <v>0</v>
      </c>
      <c r="G271" s="8">
        <v>4913</v>
      </c>
      <c r="H271" s="4">
        <f t="shared" si="324"/>
        <v>0</v>
      </c>
      <c r="I271" s="4">
        <f t="shared" si="325"/>
        <v>4913</v>
      </c>
      <c r="J271" s="4">
        <f t="shared" si="326"/>
        <v>0</v>
      </c>
      <c r="K271" s="4">
        <f t="shared" si="327"/>
        <v>0</v>
      </c>
      <c r="L271" s="4">
        <f t="shared" si="328"/>
        <v>0</v>
      </c>
      <c r="M271" s="4">
        <f t="shared" si="329"/>
        <v>0</v>
      </c>
      <c r="N271" s="4">
        <f t="shared" si="330"/>
        <v>0</v>
      </c>
      <c r="O271" s="5">
        <f t="shared" si="331"/>
        <v>36</v>
      </c>
      <c r="P271" s="6" t="str">
        <f t="shared" si="332"/>
        <v>31 TO 45 Days</v>
      </c>
      <c r="Q271" s="7">
        <v>42855</v>
      </c>
      <c r="R271" s="6" t="s">
        <v>2178</v>
      </c>
      <c r="Y271" s="1" t="str">
        <f>"4711238013"</f>
        <v>4711238013</v>
      </c>
    </row>
    <row r="272" spans="1:25" x14ac:dyDescent="0.2">
      <c r="A272" s="9" t="s">
        <v>865</v>
      </c>
      <c r="B272" s="10">
        <v>42796</v>
      </c>
      <c r="C272" s="9" t="s">
        <v>866</v>
      </c>
      <c r="D272" s="9" t="s">
        <v>20</v>
      </c>
      <c r="E272" s="9" t="s">
        <v>2190</v>
      </c>
      <c r="F272" s="9">
        <v>1000000</v>
      </c>
      <c r="G272" s="8">
        <v>4929</v>
      </c>
      <c r="H272" s="4">
        <f t="shared" si="324"/>
        <v>0</v>
      </c>
      <c r="I272" s="4">
        <f t="shared" si="325"/>
        <v>0</v>
      </c>
      <c r="J272" s="4">
        <f t="shared" si="326"/>
        <v>4929</v>
      </c>
      <c r="K272" s="4">
        <f t="shared" si="327"/>
        <v>0</v>
      </c>
      <c r="L272" s="4">
        <f t="shared" si="328"/>
        <v>0</v>
      </c>
      <c r="M272" s="4">
        <f t="shared" si="329"/>
        <v>0</v>
      </c>
      <c r="N272" s="4">
        <f t="shared" si="330"/>
        <v>0</v>
      </c>
      <c r="O272" s="5">
        <f t="shared" si="331"/>
        <v>59</v>
      </c>
      <c r="P272" s="6" t="str">
        <f t="shared" si="332"/>
        <v>46 To 60 Days</v>
      </c>
      <c r="Q272" s="7">
        <v>42855</v>
      </c>
      <c r="R272" s="6" t="s">
        <v>2178</v>
      </c>
      <c r="Y272" s="1" t="str">
        <f>"4041693409"</f>
        <v>4041693409</v>
      </c>
    </row>
    <row r="273" spans="1:25" x14ac:dyDescent="0.2">
      <c r="A273" s="9" t="s">
        <v>1248</v>
      </c>
      <c r="B273" s="10">
        <v>42817</v>
      </c>
      <c r="C273" s="9" t="s">
        <v>1249</v>
      </c>
      <c r="D273" s="9" t="s">
        <v>143</v>
      </c>
      <c r="E273" s="9" t="s">
        <v>2190</v>
      </c>
      <c r="F273" s="9">
        <v>600000</v>
      </c>
      <c r="G273" s="8">
        <v>4935</v>
      </c>
      <c r="H273" s="4">
        <f t="shared" si="324"/>
        <v>0</v>
      </c>
      <c r="I273" s="4">
        <f t="shared" si="325"/>
        <v>4935</v>
      </c>
      <c r="J273" s="4">
        <f t="shared" si="326"/>
        <v>0</v>
      </c>
      <c r="K273" s="4">
        <f t="shared" si="327"/>
        <v>0</v>
      </c>
      <c r="L273" s="4">
        <f t="shared" si="328"/>
        <v>0</v>
      </c>
      <c r="M273" s="4">
        <f t="shared" si="329"/>
        <v>0</v>
      </c>
      <c r="N273" s="4">
        <f t="shared" si="330"/>
        <v>0</v>
      </c>
      <c r="O273" s="5">
        <f t="shared" si="331"/>
        <v>38</v>
      </c>
      <c r="P273" s="6" t="str">
        <f t="shared" si="332"/>
        <v>31 TO 45 Days</v>
      </c>
      <c r="Q273" s="7">
        <v>42855</v>
      </c>
      <c r="R273" s="6" t="s">
        <v>2178</v>
      </c>
      <c r="V273" s="1" t="s">
        <v>13</v>
      </c>
      <c r="W273" s="2">
        <v>42817</v>
      </c>
      <c r="X273" s="1" t="s">
        <v>14</v>
      </c>
      <c r="Y273" s="1" t="str">
        <f>"4760147236"</f>
        <v>4760147236</v>
      </c>
    </row>
    <row r="274" spans="1:25" x14ac:dyDescent="0.2">
      <c r="A274" s="9" t="s">
        <v>1768</v>
      </c>
      <c r="B274" s="10">
        <v>42831</v>
      </c>
      <c r="C274" s="9" t="s">
        <v>1769</v>
      </c>
      <c r="D274" s="9" t="s">
        <v>1767</v>
      </c>
      <c r="E274" s="9" t="s">
        <v>2190</v>
      </c>
      <c r="F274" s="9">
        <v>0</v>
      </c>
      <c r="G274" s="8">
        <v>4947</v>
      </c>
      <c r="H274" s="4">
        <f t="shared" ref="H274:H290" si="333">IF(O274&lt;=30,G274,0)</f>
        <v>4947</v>
      </c>
      <c r="I274" s="4">
        <f t="shared" ref="I274:I290" si="334">IF(AND(O274&gt;30,O274&lt;=45),G274,0)</f>
        <v>0</v>
      </c>
      <c r="J274" s="4">
        <f t="shared" ref="J274:J290" si="335">IF(AND(O274&gt;45,O274&lt;=60),G274,0)</f>
        <v>0</v>
      </c>
      <c r="K274" s="4">
        <f t="shared" ref="K274:K290" si="336">IF(AND(O274&gt;60,O274&lt;=90),G274,0)</f>
        <v>0</v>
      </c>
      <c r="L274" s="4">
        <f t="shared" ref="L274:L290" si="337">IF(AND(O274&gt;90,O274&lt;=120),G274,0)</f>
        <v>0</v>
      </c>
      <c r="M274" s="4">
        <f t="shared" ref="M274:M290" si="338">IF(O274&gt;120,G274,0)</f>
        <v>0</v>
      </c>
      <c r="N274" s="4">
        <f t="shared" ref="N274:N290" si="339">IF(O274&gt;60,G274,0)</f>
        <v>0</v>
      </c>
      <c r="O274" s="5">
        <f t="shared" ref="O274:O290" si="340">Q274-B274</f>
        <v>24</v>
      </c>
      <c r="P274" s="6" t="str">
        <f t="shared" ref="P274:P290" si="341">IF(AND(O274&lt;=30),"30 Days",IF(AND(O274&gt;30,O274&lt;=45),"31 TO 45 Days",IF(AND(O274&gt;45,O274&lt;=60),"46 To 60 Days",IF(AND(O274&gt;60,O274&lt;=90),"61 To 90 Days",IF(AND(O274&gt;90,O274&lt;=120),"91 To 120 Days",IF(AND(O274&gt;120),"Plus120Days",))))))</f>
        <v>30 Days</v>
      </c>
      <c r="Q274" s="7">
        <v>42855</v>
      </c>
      <c r="R274" s="6" t="s">
        <v>2178</v>
      </c>
      <c r="Y274" s="1" t="str">
        <f>"417470442"</f>
        <v>417470442</v>
      </c>
    </row>
    <row r="275" spans="1:25" x14ac:dyDescent="0.2">
      <c r="A275" s="9" t="s">
        <v>1403</v>
      </c>
      <c r="B275" s="10">
        <v>42822</v>
      </c>
      <c r="C275" s="9" t="s">
        <v>1404</v>
      </c>
      <c r="D275" s="9" t="s">
        <v>144</v>
      </c>
      <c r="E275" s="9" t="s">
        <v>2190</v>
      </c>
      <c r="F275" s="9">
        <v>2300000</v>
      </c>
      <c r="G275" s="8">
        <v>4948</v>
      </c>
      <c r="H275" s="4">
        <f t="shared" si="333"/>
        <v>0</v>
      </c>
      <c r="I275" s="4">
        <f t="shared" si="334"/>
        <v>4948</v>
      </c>
      <c r="J275" s="4">
        <f t="shared" si="335"/>
        <v>0</v>
      </c>
      <c r="K275" s="4">
        <f t="shared" si="336"/>
        <v>0</v>
      </c>
      <c r="L275" s="4">
        <f t="shared" si="337"/>
        <v>0</v>
      </c>
      <c r="M275" s="4">
        <f t="shared" si="338"/>
        <v>0</v>
      </c>
      <c r="N275" s="4">
        <f t="shared" si="339"/>
        <v>0</v>
      </c>
      <c r="O275" s="5">
        <f t="shared" si="340"/>
        <v>33</v>
      </c>
      <c r="P275" s="6" t="str">
        <f t="shared" si="341"/>
        <v>31 TO 45 Days</v>
      </c>
      <c r="Q275" s="7">
        <v>42855</v>
      </c>
      <c r="R275" s="6" t="s">
        <v>2178</v>
      </c>
      <c r="Y275" s="1" t="str">
        <f>"4912901746"</f>
        <v>4912901746</v>
      </c>
    </row>
    <row r="276" spans="1:25" x14ac:dyDescent="0.2">
      <c r="A276" s="9" t="s">
        <v>1294</v>
      </c>
      <c r="B276" s="10">
        <v>42818</v>
      </c>
      <c r="C276" s="9" t="s">
        <v>1295</v>
      </c>
      <c r="D276" s="9" t="s">
        <v>161</v>
      </c>
      <c r="E276" s="9" t="s">
        <v>2190</v>
      </c>
      <c r="F276" s="9">
        <v>0</v>
      </c>
      <c r="G276" s="8">
        <v>4964</v>
      </c>
      <c r="H276" s="4">
        <f t="shared" si="333"/>
        <v>0</v>
      </c>
      <c r="I276" s="4">
        <f t="shared" si="334"/>
        <v>4964</v>
      </c>
      <c r="J276" s="4">
        <f t="shared" si="335"/>
        <v>0</v>
      </c>
      <c r="K276" s="4">
        <f t="shared" si="336"/>
        <v>0</v>
      </c>
      <c r="L276" s="4">
        <f t="shared" si="337"/>
        <v>0</v>
      </c>
      <c r="M276" s="4">
        <f t="shared" si="338"/>
        <v>0</v>
      </c>
      <c r="N276" s="4">
        <f t="shared" si="339"/>
        <v>0</v>
      </c>
      <c r="O276" s="5">
        <f t="shared" si="340"/>
        <v>37</v>
      </c>
      <c r="P276" s="6" t="str">
        <f t="shared" si="341"/>
        <v>31 TO 45 Days</v>
      </c>
      <c r="Q276" s="7">
        <v>42855</v>
      </c>
      <c r="R276" s="6" t="s">
        <v>2178</v>
      </c>
      <c r="Y276" s="1" t="str">
        <f>"4711235943"</f>
        <v>4711235943</v>
      </c>
    </row>
    <row r="277" spans="1:25" x14ac:dyDescent="0.2">
      <c r="A277" s="9" t="s">
        <v>1501</v>
      </c>
      <c r="B277" s="10">
        <v>42824</v>
      </c>
      <c r="C277" s="9" t="s">
        <v>1502</v>
      </c>
      <c r="D277" s="9" t="s">
        <v>144</v>
      </c>
      <c r="E277" s="9" t="s">
        <v>2190</v>
      </c>
      <c r="F277" s="9">
        <v>2300000</v>
      </c>
      <c r="G277" s="8">
        <v>4966</v>
      </c>
      <c r="H277" s="4">
        <f t="shared" si="333"/>
        <v>0</v>
      </c>
      <c r="I277" s="4">
        <f t="shared" si="334"/>
        <v>4966</v>
      </c>
      <c r="J277" s="4">
        <f t="shared" si="335"/>
        <v>0</v>
      </c>
      <c r="K277" s="4">
        <f t="shared" si="336"/>
        <v>0</v>
      </c>
      <c r="L277" s="4">
        <f t="shared" si="337"/>
        <v>0</v>
      </c>
      <c r="M277" s="4">
        <f t="shared" si="338"/>
        <v>0</v>
      </c>
      <c r="N277" s="4">
        <f t="shared" si="339"/>
        <v>0</v>
      </c>
      <c r="O277" s="5">
        <f t="shared" si="340"/>
        <v>31</v>
      </c>
      <c r="P277" s="6" t="str">
        <f t="shared" si="341"/>
        <v>31 TO 45 Days</v>
      </c>
      <c r="Q277" s="7">
        <v>42855</v>
      </c>
      <c r="R277" s="6" t="s">
        <v>2178</v>
      </c>
      <c r="Y277" s="1" t="str">
        <f>"4912903396"</f>
        <v>4912903396</v>
      </c>
    </row>
    <row r="278" spans="1:25" x14ac:dyDescent="0.2">
      <c r="A278" s="9" t="s">
        <v>604</v>
      </c>
      <c r="B278" s="10">
        <v>42783</v>
      </c>
      <c r="C278" s="9" t="s">
        <v>605</v>
      </c>
      <c r="D278" s="9" t="s">
        <v>270</v>
      </c>
      <c r="E278" s="9" t="s">
        <v>2190</v>
      </c>
      <c r="F278" s="9">
        <v>0</v>
      </c>
      <c r="G278" s="8">
        <v>4982</v>
      </c>
      <c r="H278" s="4">
        <f t="shared" si="333"/>
        <v>0</v>
      </c>
      <c r="I278" s="4">
        <f t="shared" si="334"/>
        <v>0</v>
      </c>
      <c r="J278" s="4">
        <f t="shared" si="335"/>
        <v>0</v>
      </c>
      <c r="K278" s="4">
        <f t="shared" si="336"/>
        <v>4982</v>
      </c>
      <c r="L278" s="4">
        <f t="shared" si="337"/>
        <v>0</v>
      </c>
      <c r="M278" s="4">
        <f t="shared" si="338"/>
        <v>0</v>
      </c>
      <c r="N278" s="4">
        <f t="shared" si="339"/>
        <v>4982</v>
      </c>
      <c r="O278" s="5">
        <f t="shared" si="340"/>
        <v>72</v>
      </c>
      <c r="P278" s="6" t="str">
        <f t="shared" si="341"/>
        <v>61 To 90 Days</v>
      </c>
      <c r="Q278" s="7">
        <v>42855</v>
      </c>
      <c r="R278" s="6" t="s">
        <v>2178</v>
      </c>
      <c r="Y278" s="1" t="str">
        <f>"4540130252"</f>
        <v>4540130252</v>
      </c>
    </row>
    <row r="279" spans="1:25" x14ac:dyDescent="0.2">
      <c r="A279" s="9" t="s">
        <v>1358</v>
      </c>
      <c r="B279" s="10">
        <v>42821</v>
      </c>
      <c r="C279" s="9" t="s">
        <v>1359</v>
      </c>
      <c r="D279" s="9" t="s">
        <v>140</v>
      </c>
      <c r="E279" s="9" t="s">
        <v>2190</v>
      </c>
      <c r="F279" s="9">
        <v>0</v>
      </c>
      <c r="G279" s="8">
        <v>4984</v>
      </c>
      <c r="H279" s="4">
        <f t="shared" si="333"/>
        <v>0</v>
      </c>
      <c r="I279" s="4">
        <f t="shared" si="334"/>
        <v>4984</v>
      </c>
      <c r="J279" s="4">
        <f t="shared" si="335"/>
        <v>0</v>
      </c>
      <c r="K279" s="4">
        <f t="shared" si="336"/>
        <v>0</v>
      </c>
      <c r="L279" s="4">
        <f t="shared" si="337"/>
        <v>0</v>
      </c>
      <c r="M279" s="4">
        <f t="shared" si="338"/>
        <v>0</v>
      </c>
      <c r="N279" s="4">
        <f t="shared" si="339"/>
        <v>0</v>
      </c>
      <c r="O279" s="5">
        <f t="shared" si="340"/>
        <v>34</v>
      </c>
      <c r="P279" s="6" t="str">
        <f t="shared" si="341"/>
        <v>31 TO 45 Days</v>
      </c>
      <c r="Q279" s="7">
        <v>42855</v>
      </c>
      <c r="R279" s="6" t="s">
        <v>2178</v>
      </c>
      <c r="Y279" s="1" t="str">
        <f>"4570268833"</f>
        <v>4570268833</v>
      </c>
    </row>
    <row r="280" spans="1:25" x14ac:dyDescent="0.2">
      <c r="A280" s="9" t="s">
        <v>1211</v>
      </c>
      <c r="B280" s="10">
        <v>42816</v>
      </c>
      <c r="C280" s="9" t="s">
        <v>1212</v>
      </c>
      <c r="D280" s="9" t="s">
        <v>270</v>
      </c>
      <c r="E280" s="9" t="s">
        <v>2190</v>
      </c>
      <c r="F280" s="9">
        <v>0</v>
      </c>
      <c r="G280" s="8">
        <v>4998</v>
      </c>
      <c r="H280" s="4">
        <f t="shared" si="333"/>
        <v>0</v>
      </c>
      <c r="I280" s="4">
        <f t="shared" si="334"/>
        <v>4998</v>
      </c>
      <c r="J280" s="4">
        <f t="shared" si="335"/>
        <v>0</v>
      </c>
      <c r="K280" s="4">
        <f t="shared" si="336"/>
        <v>0</v>
      </c>
      <c r="L280" s="4">
        <f t="shared" si="337"/>
        <v>0</v>
      </c>
      <c r="M280" s="4">
        <f t="shared" si="338"/>
        <v>0</v>
      </c>
      <c r="N280" s="4">
        <f t="shared" si="339"/>
        <v>0</v>
      </c>
      <c r="O280" s="5">
        <f t="shared" si="340"/>
        <v>39</v>
      </c>
      <c r="P280" s="6" t="str">
        <f t="shared" si="341"/>
        <v>31 TO 45 Days</v>
      </c>
      <c r="Q280" s="7">
        <v>42855</v>
      </c>
      <c r="R280" s="6" t="s">
        <v>2178</v>
      </c>
      <c r="Y280" s="1" t="str">
        <f>"4560218375"</f>
        <v>4560218375</v>
      </c>
    </row>
    <row r="281" spans="1:25" x14ac:dyDescent="0.2">
      <c r="A281" s="9" t="s">
        <v>424</v>
      </c>
      <c r="B281" s="10">
        <v>42765</v>
      </c>
      <c r="C281" s="9" t="s">
        <v>425</v>
      </c>
      <c r="D281" s="9" t="s">
        <v>161</v>
      </c>
      <c r="E281" s="9" t="s">
        <v>2190</v>
      </c>
      <c r="F281" s="9">
        <v>0</v>
      </c>
      <c r="G281" s="8">
        <v>5012</v>
      </c>
      <c r="H281" s="4">
        <f t="shared" si="333"/>
        <v>0</v>
      </c>
      <c r="I281" s="4">
        <f t="shared" si="334"/>
        <v>0</v>
      </c>
      <c r="J281" s="4">
        <f t="shared" si="335"/>
        <v>0</v>
      </c>
      <c r="K281" s="4">
        <f t="shared" si="336"/>
        <v>5012</v>
      </c>
      <c r="L281" s="4">
        <f t="shared" si="337"/>
        <v>0</v>
      </c>
      <c r="M281" s="4">
        <f t="shared" si="338"/>
        <v>0</v>
      </c>
      <c r="N281" s="4">
        <f t="shared" si="339"/>
        <v>5012</v>
      </c>
      <c r="O281" s="5">
        <f t="shared" si="340"/>
        <v>90</v>
      </c>
      <c r="P281" s="6" t="str">
        <f t="shared" si="341"/>
        <v>61 To 90 Days</v>
      </c>
      <c r="Q281" s="7">
        <v>42855</v>
      </c>
      <c r="R281" s="6" t="s">
        <v>2178</v>
      </c>
      <c r="Y281" s="1" t="str">
        <f>"4711225650"</f>
        <v>4711225650</v>
      </c>
    </row>
    <row r="282" spans="1:25" x14ac:dyDescent="0.2">
      <c r="A282" s="9" t="s">
        <v>770</v>
      </c>
      <c r="B282" s="10">
        <v>42793</v>
      </c>
      <c r="C282" s="9" t="s">
        <v>771</v>
      </c>
      <c r="D282" s="9" t="s">
        <v>270</v>
      </c>
      <c r="E282" s="9" t="s">
        <v>2190</v>
      </c>
      <c r="F282" s="9">
        <v>0</v>
      </c>
      <c r="G282" s="8">
        <v>5014</v>
      </c>
      <c r="H282" s="4">
        <f t="shared" si="333"/>
        <v>0</v>
      </c>
      <c r="I282" s="4">
        <f t="shared" si="334"/>
        <v>0</v>
      </c>
      <c r="J282" s="4">
        <f t="shared" si="335"/>
        <v>0</v>
      </c>
      <c r="K282" s="4">
        <f t="shared" si="336"/>
        <v>5014</v>
      </c>
      <c r="L282" s="4">
        <f t="shared" si="337"/>
        <v>0</v>
      </c>
      <c r="M282" s="4">
        <f t="shared" si="338"/>
        <v>0</v>
      </c>
      <c r="N282" s="4">
        <f t="shared" si="339"/>
        <v>5014</v>
      </c>
      <c r="O282" s="5">
        <f t="shared" si="340"/>
        <v>62</v>
      </c>
      <c r="P282" s="6" t="str">
        <f t="shared" si="341"/>
        <v>61 To 90 Days</v>
      </c>
      <c r="Q282" s="7">
        <v>42855</v>
      </c>
      <c r="R282" s="6" t="s">
        <v>2178</v>
      </c>
      <c r="Y282" s="1" t="str">
        <f>"4540130566"</f>
        <v>4540130566</v>
      </c>
    </row>
    <row r="283" spans="1:25" x14ac:dyDescent="0.2">
      <c r="A283" s="9" t="s">
        <v>1906</v>
      </c>
      <c r="B283" s="10">
        <v>42835</v>
      </c>
      <c r="C283" s="9" t="s">
        <v>1907</v>
      </c>
      <c r="D283" s="9" t="s">
        <v>144</v>
      </c>
      <c r="E283" s="9" t="s">
        <v>2190</v>
      </c>
      <c r="F283" s="9">
        <v>2300000</v>
      </c>
      <c r="G283" s="8">
        <v>5017</v>
      </c>
      <c r="H283" s="4">
        <f t="shared" si="333"/>
        <v>5017</v>
      </c>
      <c r="I283" s="4">
        <f t="shared" si="334"/>
        <v>0</v>
      </c>
      <c r="J283" s="4">
        <f t="shared" si="335"/>
        <v>0</v>
      </c>
      <c r="K283" s="4">
        <f t="shared" si="336"/>
        <v>0</v>
      </c>
      <c r="L283" s="4">
        <f t="shared" si="337"/>
        <v>0</v>
      </c>
      <c r="M283" s="4">
        <f t="shared" si="338"/>
        <v>0</v>
      </c>
      <c r="N283" s="4">
        <f t="shared" si="339"/>
        <v>0</v>
      </c>
      <c r="O283" s="5">
        <f t="shared" si="340"/>
        <v>20</v>
      </c>
      <c r="P283" s="6" t="str">
        <f t="shared" si="341"/>
        <v>30 Days</v>
      </c>
      <c r="Q283" s="7">
        <v>42855</v>
      </c>
      <c r="R283" s="6" t="str">
        <f>VLOOKUP(A283:A4220,[1]BOM_INV_OPERATOR_DETAILS_OUTPUT!$A$2:$D$1233,4,FALSE)</f>
        <v>AI</v>
      </c>
      <c r="Y283" s="1" t="str">
        <f>"4912905969"</f>
        <v>4912905969</v>
      </c>
    </row>
    <row r="284" spans="1:25" x14ac:dyDescent="0.2">
      <c r="A284" s="9" t="s">
        <v>1992</v>
      </c>
      <c r="B284" s="10">
        <v>42836</v>
      </c>
      <c r="C284" s="9" t="s">
        <v>1993</v>
      </c>
      <c r="D284" s="9" t="s">
        <v>778</v>
      </c>
      <c r="E284" s="9" t="s">
        <v>2190</v>
      </c>
      <c r="F284" s="9">
        <v>200000</v>
      </c>
      <c r="G284" s="8">
        <v>5018</v>
      </c>
      <c r="H284" s="4">
        <f t="shared" si="333"/>
        <v>5018</v>
      </c>
      <c r="I284" s="4">
        <f t="shared" si="334"/>
        <v>0</v>
      </c>
      <c r="J284" s="4">
        <f t="shared" si="335"/>
        <v>0</v>
      </c>
      <c r="K284" s="4">
        <f t="shared" si="336"/>
        <v>0</v>
      </c>
      <c r="L284" s="4">
        <f t="shared" si="337"/>
        <v>0</v>
      </c>
      <c r="M284" s="4">
        <f t="shared" si="338"/>
        <v>0</v>
      </c>
      <c r="N284" s="4">
        <f t="shared" si="339"/>
        <v>0</v>
      </c>
      <c r="O284" s="5">
        <f t="shared" si="340"/>
        <v>19</v>
      </c>
      <c r="P284" s="6" t="str">
        <f t="shared" si="341"/>
        <v>30 Days</v>
      </c>
      <c r="Q284" s="7">
        <v>42855</v>
      </c>
      <c r="R284" s="6" t="str">
        <f>VLOOKUP(A284:A4221,[1]BOM_INV_OPERATOR_DETAILS_OUTPUT!$A$2:$D$1233,4,FALSE)</f>
        <v>AI</v>
      </c>
      <c r="Y284" s="1" t="str">
        <f>"4760147780"</f>
        <v>4760147780</v>
      </c>
    </row>
    <row r="285" spans="1:25" x14ac:dyDescent="0.2">
      <c r="A285" s="9" t="s">
        <v>1908</v>
      </c>
      <c r="B285" s="10">
        <v>42835</v>
      </c>
      <c r="C285" s="9" t="s">
        <v>1909</v>
      </c>
      <c r="D285" s="9" t="s">
        <v>144</v>
      </c>
      <c r="E285" s="9" t="s">
        <v>2190</v>
      </c>
      <c r="F285" s="9">
        <v>2300000</v>
      </c>
      <c r="G285" s="8">
        <v>5032</v>
      </c>
      <c r="H285" s="4">
        <f t="shared" si="333"/>
        <v>5032</v>
      </c>
      <c r="I285" s="4">
        <f t="shared" si="334"/>
        <v>0</v>
      </c>
      <c r="J285" s="4">
        <f t="shared" si="335"/>
        <v>0</v>
      </c>
      <c r="K285" s="4">
        <f t="shared" si="336"/>
        <v>0</v>
      </c>
      <c r="L285" s="4">
        <f t="shared" si="337"/>
        <v>0</v>
      </c>
      <c r="M285" s="4">
        <f t="shared" si="338"/>
        <v>0</v>
      </c>
      <c r="N285" s="4">
        <f t="shared" si="339"/>
        <v>0</v>
      </c>
      <c r="O285" s="5">
        <f t="shared" si="340"/>
        <v>20</v>
      </c>
      <c r="P285" s="6" t="str">
        <f t="shared" si="341"/>
        <v>30 Days</v>
      </c>
      <c r="Q285" s="7">
        <v>42855</v>
      </c>
      <c r="R285" s="6" t="str">
        <f>VLOOKUP(A285:A4222,[1]BOM_INV_OPERATOR_DETAILS_OUTPUT!$A$2:$D$1233,4,FALSE)</f>
        <v>AI</v>
      </c>
      <c r="Y285" s="1" t="str">
        <f>"4912908567"</f>
        <v>4912908567</v>
      </c>
    </row>
    <row r="286" spans="1:25" x14ac:dyDescent="0.2">
      <c r="A286" s="9" t="s">
        <v>931</v>
      </c>
      <c r="B286" s="10">
        <v>42802</v>
      </c>
      <c r="C286" s="9" t="s">
        <v>932</v>
      </c>
      <c r="D286" s="9" t="s">
        <v>161</v>
      </c>
      <c r="E286" s="9" t="s">
        <v>2190</v>
      </c>
      <c r="F286" s="9">
        <v>0</v>
      </c>
      <c r="G286" s="8">
        <v>5037</v>
      </c>
      <c r="H286" s="4">
        <f t="shared" si="333"/>
        <v>0</v>
      </c>
      <c r="I286" s="4">
        <f t="shared" si="334"/>
        <v>0</v>
      </c>
      <c r="J286" s="4">
        <f t="shared" si="335"/>
        <v>5037</v>
      </c>
      <c r="K286" s="4">
        <f t="shared" si="336"/>
        <v>0</v>
      </c>
      <c r="L286" s="4">
        <f t="shared" si="337"/>
        <v>0</v>
      </c>
      <c r="M286" s="4">
        <f t="shared" si="338"/>
        <v>0</v>
      </c>
      <c r="N286" s="4">
        <f t="shared" si="339"/>
        <v>0</v>
      </c>
      <c r="O286" s="5">
        <f t="shared" si="340"/>
        <v>53</v>
      </c>
      <c r="P286" s="6" t="str">
        <f t="shared" si="341"/>
        <v>46 To 60 Days</v>
      </c>
      <c r="Q286" s="7">
        <v>42855</v>
      </c>
      <c r="R286" s="6" t="s">
        <v>2178</v>
      </c>
      <c r="Y286" s="1" t="str">
        <f>"4711234040"</f>
        <v>4711234040</v>
      </c>
    </row>
    <row r="287" spans="1:25" x14ac:dyDescent="0.2">
      <c r="A287" s="9" t="s">
        <v>900</v>
      </c>
      <c r="B287" s="10">
        <v>42798</v>
      </c>
      <c r="C287" s="9" t="s">
        <v>901</v>
      </c>
      <c r="D287" s="9" t="s">
        <v>140</v>
      </c>
      <c r="E287" s="9" t="s">
        <v>2190</v>
      </c>
      <c r="F287" s="9">
        <v>0</v>
      </c>
      <c r="G287" s="8">
        <v>5041</v>
      </c>
      <c r="H287" s="4">
        <f t="shared" si="333"/>
        <v>0</v>
      </c>
      <c r="I287" s="4">
        <f t="shared" si="334"/>
        <v>0</v>
      </c>
      <c r="J287" s="4">
        <f t="shared" si="335"/>
        <v>5041</v>
      </c>
      <c r="K287" s="4">
        <f t="shared" si="336"/>
        <v>0</v>
      </c>
      <c r="L287" s="4">
        <f t="shared" si="337"/>
        <v>0</v>
      </c>
      <c r="M287" s="4">
        <f t="shared" si="338"/>
        <v>0</v>
      </c>
      <c r="N287" s="4">
        <f t="shared" si="339"/>
        <v>0</v>
      </c>
      <c r="O287" s="5">
        <f t="shared" si="340"/>
        <v>57</v>
      </c>
      <c r="P287" s="6" t="str">
        <f t="shared" si="341"/>
        <v>46 To 60 Days</v>
      </c>
      <c r="Q287" s="7">
        <v>42855</v>
      </c>
      <c r="R287" s="6" t="s">
        <v>2178</v>
      </c>
      <c r="Y287" s="1" t="str">
        <f>"4570269209"</f>
        <v>4570269209</v>
      </c>
    </row>
    <row r="288" spans="1:25" x14ac:dyDescent="0.2">
      <c r="A288" s="9" t="s">
        <v>911</v>
      </c>
      <c r="B288" s="10">
        <v>42798</v>
      </c>
      <c r="C288" s="9" t="s">
        <v>912</v>
      </c>
      <c r="D288" s="9" t="s">
        <v>140</v>
      </c>
      <c r="E288" s="9" t="s">
        <v>2190</v>
      </c>
      <c r="F288" s="9">
        <v>0</v>
      </c>
      <c r="G288" s="8">
        <v>5041</v>
      </c>
      <c r="H288" s="4">
        <f t="shared" si="333"/>
        <v>0</v>
      </c>
      <c r="I288" s="4">
        <f t="shared" si="334"/>
        <v>0</v>
      </c>
      <c r="J288" s="4">
        <f t="shared" si="335"/>
        <v>5041</v>
      </c>
      <c r="K288" s="4">
        <f t="shared" si="336"/>
        <v>0</v>
      </c>
      <c r="L288" s="4">
        <f t="shared" si="337"/>
        <v>0</v>
      </c>
      <c r="M288" s="4">
        <f t="shared" si="338"/>
        <v>0</v>
      </c>
      <c r="N288" s="4">
        <f t="shared" si="339"/>
        <v>0</v>
      </c>
      <c r="O288" s="5">
        <f t="shared" si="340"/>
        <v>57</v>
      </c>
      <c r="P288" s="6" t="str">
        <f t="shared" si="341"/>
        <v>46 To 60 Days</v>
      </c>
      <c r="Q288" s="7">
        <v>42855</v>
      </c>
      <c r="R288" s="6" t="s">
        <v>2178</v>
      </c>
      <c r="Y288" s="1" t="str">
        <f>"4570269205"</f>
        <v>4570269205</v>
      </c>
    </row>
    <row r="289" spans="1:25" x14ac:dyDescent="0.2">
      <c r="A289" s="9" t="s">
        <v>1469</v>
      </c>
      <c r="B289" s="10">
        <v>42824</v>
      </c>
      <c r="C289" s="9" t="s">
        <v>1470</v>
      </c>
      <c r="D289" s="9" t="s">
        <v>270</v>
      </c>
      <c r="E289" s="9" t="s">
        <v>2190</v>
      </c>
      <c r="F289" s="9">
        <v>0</v>
      </c>
      <c r="G289" s="8">
        <v>5073</v>
      </c>
      <c r="H289" s="4">
        <f t="shared" si="333"/>
        <v>0</v>
      </c>
      <c r="I289" s="4">
        <f t="shared" si="334"/>
        <v>5073</v>
      </c>
      <c r="J289" s="4">
        <f t="shared" si="335"/>
        <v>0</v>
      </c>
      <c r="K289" s="4">
        <f t="shared" si="336"/>
        <v>0</v>
      </c>
      <c r="L289" s="4">
        <f t="shared" si="337"/>
        <v>0</v>
      </c>
      <c r="M289" s="4">
        <f t="shared" si="338"/>
        <v>0</v>
      </c>
      <c r="N289" s="4">
        <f t="shared" si="339"/>
        <v>0</v>
      </c>
      <c r="O289" s="5">
        <f t="shared" si="340"/>
        <v>31</v>
      </c>
      <c r="P289" s="6" t="str">
        <f t="shared" si="341"/>
        <v>31 TO 45 Days</v>
      </c>
      <c r="Q289" s="7">
        <v>42855</v>
      </c>
      <c r="R289" s="6" t="s">
        <v>2178</v>
      </c>
      <c r="Y289" s="1" t="str">
        <f>"4560218809"</f>
        <v>4560218809</v>
      </c>
    </row>
    <row r="290" spans="1:25" x14ac:dyDescent="0.2">
      <c r="A290" s="9" t="s">
        <v>1020</v>
      </c>
      <c r="B290" s="10">
        <v>42810</v>
      </c>
      <c r="C290" s="9" t="s">
        <v>1021</v>
      </c>
      <c r="D290" s="9" t="s">
        <v>161</v>
      </c>
      <c r="E290" s="9" t="s">
        <v>2190</v>
      </c>
      <c r="F290" s="9">
        <v>0</v>
      </c>
      <c r="G290" s="8">
        <v>5074</v>
      </c>
      <c r="H290" s="4">
        <f t="shared" si="333"/>
        <v>0</v>
      </c>
      <c r="I290" s="4">
        <f t="shared" si="334"/>
        <v>5074</v>
      </c>
      <c r="J290" s="4">
        <f t="shared" si="335"/>
        <v>0</v>
      </c>
      <c r="K290" s="4">
        <f t="shared" si="336"/>
        <v>0</v>
      </c>
      <c r="L290" s="4">
        <f t="shared" si="337"/>
        <v>0</v>
      </c>
      <c r="M290" s="4">
        <f t="shared" si="338"/>
        <v>0</v>
      </c>
      <c r="N290" s="4">
        <f t="shared" si="339"/>
        <v>0</v>
      </c>
      <c r="O290" s="5">
        <f t="shared" si="340"/>
        <v>45</v>
      </c>
      <c r="P290" s="6" t="str">
        <f t="shared" si="341"/>
        <v>31 TO 45 Days</v>
      </c>
      <c r="Q290" s="7">
        <v>42855</v>
      </c>
      <c r="R290" s="6" t="s">
        <v>2178</v>
      </c>
      <c r="Y290" s="1" t="str">
        <f>"4711234600"</f>
        <v>4711234600</v>
      </c>
    </row>
    <row r="291" spans="1:25" x14ac:dyDescent="0.2">
      <c r="A291" s="9" t="s">
        <v>411</v>
      </c>
      <c r="B291" s="10">
        <v>42763</v>
      </c>
      <c r="C291" s="9" t="s">
        <v>412</v>
      </c>
      <c r="D291" s="9" t="s">
        <v>140</v>
      </c>
      <c r="E291" s="9" t="s">
        <v>2190</v>
      </c>
      <c r="F291" s="9">
        <v>0</v>
      </c>
      <c r="G291" s="8">
        <v>5080</v>
      </c>
      <c r="H291" s="4">
        <f t="shared" ref="H291:H313" si="342">IF(O291&lt;=30,G291,0)</f>
        <v>0</v>
      </c>
      <c r="I291" s="4">
        <f t="shared" ref="I291:I313" si="343">IF(AND(O291&gt;30,O291&lt;=45),G291,0)</f>
        <v>0</v>
      </c>
      <c r="J291" s="4">
        <f t="shared" ref="J291:J313" si="344">IF(AND(O291&gt;45,O291&lt;=60),G291,0)</f>
        <v>0</v>
      </c>
      <c r="K291" s="4">
        <f t="shared" ref="K291:K313" si="345">IF(AND(O291&gt;60,O291&lt;=90),G291,0)</f>
        <v>0</v>
      </c>
      <c r="L291" s="4">
        <f t="shared" ref="L291:L313" si="346">IF(AND(O291&gt;90,O291&lt;=120),G291,0)</f>
        <v>5080</v>
      </c>
      <c r="M291" s="4">
        <f t="shared" ref="M291:M313" si="347">IF(O291&gt;120,G291,0)</f>
        <v>0</v>
      </c>
      <c r="N291" s="4">
        <f t="shared" ref="N291:N313" si="348">IF(O291&gt;60,G291,0)</f>
        <v>5080</v>
      </c>
      <c r="O291" s="5">
        <f t="shared" ref="O291:O313" si="349">Q291-B291</f>
        <v>92</v>
      </c>
      <c r="P291" s="6" t="str">
        <f t="shared" ref="P291:P313" si="350">IF(AND(O291&lt;=30),"30 Days",IF(AND(O291&gt;30,O291&lt;=45),"31 TO 45 Days",IF(AND(O291&gt;45,O291&lt;=60),"46 To 60 Days",IF(AND(O291&gt;60,O291&lt;=90),"61 To 90 Days",IF(AND(O291&gt;90,O291&lt;=120),"91 To 120 Days",IF(AND(O291&gt;120),"Plus120Days",))))))</f>
        <v>91 To 120 Days</v>
      </c>
      <c r="Q291" s="7">
        <v>42855</v>
      </c>
      <c r="R291" s="6" t="s">
        <v>2178</v>
      </c>
      <c r="Y291" s="1" t="str">
        <f>"4570267441"</f>
        <v>4570267441</v>
      </c>
    </row>
    <row r="292" spans="1:25" x14ac:dyDescent="0.2">
      <c r="A292" s="9" t="s">
        <v>1858</v>
      </c>
      <c r="B292" s="10">
        <v>42835</v>
      </c>
      <c r="C292" s="9" t="s">
        <v>1859</v>
      </c>
      <c r="D292" s="9" t="s">
        <v>144</v>
      </c>
      <c r="E292" s="9" t="s">
        <v>2190</v>
      </c>
      <c r="F292" s="9">
        <v>2300000</v>
      </c>
      <c r="G292" s="8">
        <v>5094</v>
      </c>
      <c r="H292" s="4">
        <f t="shared" si="342"/>
        <v>5094</v>
      </c>
      <c r="I292" s="4">
        <f t="shared" si="343"/>
        <v>0</v>
      </c>
      <c r="J292" s="4">
        <f t="shared" si="344"/>
        <v>0</v>
      </c>
      <c r="K292" s="4">
        <f t="shared" si="345"/>
        <v>0</v>
      </c>
      <c r="L292" s="4">
        <f t="shared" si="346"/>
        <v>0</v>
      </c>
      <c r="M292" s="4">
        <f t="shared" si="347"/>
        <v>0</v>
      </c>
      <c r="N292" s="4">
        <f t="shared" si="348"/>
        <v>0</v>
      </c>
      <c r="O292" s="5">
        <f t="shared" si="349"/>
        <v>20</v>
      </c>
      <c r="P292" s="6" t="str">
        <f t="shared" si="350"/>
        <v>30 Days</v>
      </c>
      <c r="Q292" s="7">
        <v>42855</v>
      </c>
      <c r="R292" s="6" t="str">
        <f>VLOOKUP(A292:A4245,[1]BOM_INV_OPERATOR_DETAILS_OUTPUT!$A$2:$D$1233,4,FALSE)</f>
        <v>AI</v>
      </c>
      <c r="Y292" s="1" t="str">
        <f>"4912905976"</f>
        <v>4912905976</v>
      </c>
    </row>
    <row r="293" spans="1:25" x14ac:dyDescent="0.2">
      <c r="A293" s="9" t="s">
        <v>1884</v>
      </c>
      <c r="B293" s="10">
        <v>42835</v>
      </c>
      <c r="C293" s="9" t="s">
        <v>1885</v>
      </c>
      <c r="D293" s="9" t="s">
        <v>144</v>
      </c>
      <c r="E293" s="9" t="s">
        <v>2190</v>
      </c>
      <c r="F293" s="9">
        <v>2300000</v>
      </c>
      <c r="G293" s="8">
        <v>5094</v>
      </c>
      <c r="H293" s="4">
        <f t="shared" si="342"/>
        <v>5094</v>
      </c>
      <c r="I293" s="4">
        <f t="shared" si="343"/>
        <v>0</v>
      </c>
      <c r="J293" s="4">
        <f t="shared" si="344"/>
        <v>0</v>
      </c>
      <c r="K293" s="4">
        <f t="shared" si="345"/>
        <v>0</v>
      </c>
      <c r="L293" s="4">
        <f t="shared" si="346"/>
        <v>0</v>
      </c>
      <c r="M293" s="4">
        <f t="shared" si="347"/>
        <v>0</v>
      </c>
      <c r="N293" s="4">
        <f t="shared" si="348"/>
        <v>0</v>
      </c>
      <c r="O293" s="5">
        <f t="shared" si="349"/>
        <v>20</v>
      </c>
      <c r="P293" s="6" t="str">
        <f t="shared" si="350"/>
        <v>30 Days</v>
      </c>
      <c r="Q293" s="7">
        <v>42855</v>
      </c>
      <c r="R293" s="6" t="str">
        <f>VLOOKUP(A293:A4246,[1]BOM_INV_OPERATOR_DETAILS_OUTPUT!$A$2:$D$1233,4,FALSE)</f>
        <v>AI</v>
      </c>
      <c r="Y293" s="1" t="str">
        <f>"4912905983"</f>
        <v>4912905983</v>
      </c>
    </row>
    <row r="294" spans="1:25" x14ac:dyDescent="0.2">
      <c r="A294" s="9" t="s">
        <v>395</v>
      </c>
      <c r="B294" s="10">
        <v>42763</v>
      </c>
      <c r="C294" s="9" t="s">
        <v>396</v>
      </c>
      <c r="D294" s="9" t="s">
        <v>270</v>
      </c>
      <c r="E294" s="9" t="s">
        <v>2190</v>
      </c>
      <c r="F294" s="9">
        <v>0</v>
      </c>
      <c r="G294" s="8">
        <v>5104</v>
      </c>
      <c r="H294" s="4">
        <f t="shared" si="342"/>
        <v>0</v>
      </c>
      <c r="I294" s="4">
        <f t="shared" si="343"/>
        <v>0</v>
      </c>
      <c r="J294" s="4">
        <f t="shared" si="344"/>
        <v>0</v>
      </c>
      <c r="K294" s="4">
        <f t="shared" si="345"/>
        <v>0</v>
      </c>
      <c r="L294" s="4">
        <f t="shared" si="346"/>
        <v>5104</v>
      </c>
      <c r="M294" s="4">
        <f t="shared" si="347"/>
        <v>0</v>
      </c>
      <c r="N294" s="4">
        <f t="shared" si="348"/>
        <v>5104</v>
      </c>
      <c r="O294" s="5">
        <f t="shared" si="349"/>
        <v>92</v>
      </c>
      <c r="P294" s="6" t="str">
        <f t="shared" si="350"/>
        <v>91 To 120 Days</v>
      </c>
      <c r="Q294" s="7">
        <v>42855</v>
      </c>
      <c r="R294" s="6" t="s">
        <v>2178</v>
      </c>
      <c r="Y294" s="1" t="str">
        <f>"4560216672"</f>
        <v>4560216672</v>
      </c>
    </row>
    <row r="295" spans="1:25" x14ac:dyDescent="0.2">
      <c r="A295" s="9" t="s">
        <v>1892</v>
      </c>
      <c r="B295" s="10">
        <v>42835</v>
      </c>
      <c r="C295" s="9" t="s">
        <v>1893</v>
      </c>
      <c r="D295" s="9" t="s">
        <v>144</v>
      </c>
      <c r="E295" s="9" t="s">
        <v>2190</v>
      </c>
      <c r="F295" s="9">
        <v>2300000</v>
      </c>
      <c r="G295" s="8">
        <v>5113</v>
      </c>
      <c r="H295" s="4">
        <f t="shared" si="342"/>
        <v>5113</v>
      </c>
      <c r="I295" s="4">
        <f t="shared" si="343"/>
        <v>0</v>
      </c>
      <c r="J295" s="4">
        <f t="shared" si="344"/>
        <v>0</v>
      </c>
      <c r="K295" s="4">
        <f t="shared" si="345"/>
        <v>0</v>
      </c>
      <c r="L295" s="4">
        <f t="shared" si="346"/>
        <v>0</v>
      </c>
      <c r="M295" s="4">
        <f t="shared" si="347"/>
        <v>0</v>
      </c>
      <c r="N295" s="4">
        <f t="shared" si="348"/>
        <v>0</v>
      </c>
      <c r="O295" s="5">
        <f t="shared" si="349"/>
        <v>20</v>
      </c>
      <c r="P295" s="6" t="str">
        <f t="shared" si="350"/>
        <v>30 Days</v>
      </c>
      <c r="Q295" s="7">
        <v>42855</v>
      </c>
      <c r="R295" s="6" t="str">
        <f>VLOOKUP(A295:A4251,[1]BOM_INV_OPERATOR_DETAILS_OUTPUT!$A$2:$D$1233,4,FALSE)</f>
        <v>AI</v>
      </c>
      <c r="Y295" s="1" t="str">
        <f>"4912911506"</f>
        <v>4912911506</v>
      </c>
    </row>
    <row r="296" spans="1:25" x14ac:dyDescent="0.2">
      <c r="A296" s="9" t="s">
        <v>1213</v>
      </c>
      <c r="B296" s="10">
        <v>42816</v>
      </c>
      <c r="C296" s="9" t="s">
        <v>1214</v>
      </c>
      <c r="D296" s="9" t="s">
        <v>145</v>
      </c>
      <c r="E296" s="9" t="s">
        <v>2190</v>
      </c>
      <c r="F296" s="9">
        <v>2100000</v>
      </c>
      <c r="G296" s="8">
        <v>5119</v>
      </c>
      <c r="H296" s="4">
        <f t="shared" si="342"/>
        <v>0</v>
      </c>
      <c r="I296" s="4">
        <f t="shared" si="343"/>
        <v>5119</v>
      </c>
      <c r="J296" s="4">
        <f t="shared" si="344"/>
        <v>0</v>
      </c>
      <c r="K296" s="4">
        <f t="shared" si="345"/>
        <v>0</v>
      </c>
      <c r="L296" s="4">
        <f t="shared" si="346"/>
        <v>0</v>
      </c>
      <c r="M296" s="4">
        <f t="shared" si="347"/>
        <v>0</v>
      </c>
      <c r="N296" s="4">
        <f t="shared" si="348"/>
        <v>0</v>
      </c>
      <c r="O296" s="5">
        <f t="shared" si="349"/>
        <v>39</v>
      </c>
      <c r="P296" s="6" t="str">
        <f t="shared" si="350"/>
        <v>31 TO 45 Days</v>
      </c>
      <c r="Q296" s="7">
        <v>42855</v>
      </c>
      <c r="R296" s="6" t="s">
        <v>2178</v>
      </c>
      <c r="Y296" s="1" t="str">
        <f>"4540131212"</f>
        <v>4540131212</v>
      </c>
    </row>
    <row r="297" spans="1:25" x14ac:dyDescent="0.2">
      <c r="A297" s="9" t="s">
        <v>1862</v>
      </c>
      <c r="B297" s="10">
        <v>42835</v>
      </c>
      <c r="C297" s="9" t="s">
        <v>1863</v>
      </c>
      <c r="D297" s="9" t="s">
        <v>144</v>
      </c>
      <c r="E297" s="9" t="s">
        <v>2190</v>
      </c>
      <c r="F297" s="9">
        <v>2300000</v>
      </c>
      <c r="G297" s="8">
        <v>5123</v>
      </c>
      <c r="H297" s="4">
        <f t="shared" si="342"/>
        <v>5123</v>
      </c>
      <c r="I297" s="4">
        <f t="shared" si="343"/>
        <v>0</v>
      </c>
      <c r="J297" s="4">
        <f t="shared" si="344"/>
        <v>0</v>
      </c>
      <c r="K297" s="4">
        <f t="shared" si="345"/>
        <v>0</v>
      </c>
      <c r="L297" s="4">
        <f t="shared" si="346"/>
        <v>0</v>
      </c>
      <c r="M297" s="4">
        <f t="shared" si="347"/>
        <v>0</v>
      </c>
      <c r="N297" s="4">
        <f t="shared" si="348"/>
        <v>0</v>
      </c>
      <c r="O297" s="5">
        <f t="shared" si="349"/>
        <v>20</v>
      </c>
      <c r="P297" s="6" t="str">
        <f t="shared" si="350"/>
        <v>30 Days</v>
      </c>
      <c r="Q297" s="7">
        <v>42855</v>
      </c>
      <c r="R297" s="6" t="str">
        <f>VLOOKUP(A297:A4257,[1]BOM_INV_OPERATOR_DETAILS_OUTPUT!$A$2:$D$1233,4,FALSE)</f>
        <v>AI</v>
      </c>
      <c r="Y297" s="1" t="str">
        <f>"4912909131"</f>
        <v>4912909131</v>
      </c>
    </row>
    <row r="298" spans="1:25" x14ac:dyDescent="0.2">
      <c r="A298" s="9" t="s">
        <v>1067</v>
      </c>
      <c r="B298" s="10">
        <v>42812</v>
      </c>
      <c r="C298" s="9" t="s">
        <v>1068</v>
      </c>
      <c r="D298" s="9" t="s">
        <v>42</v>
      </c>
      <c r="E298" s="9" t="s">
        <v>2190</v>
      </c>
      <c r="F298" s="9">
        <v>1480000</v>
      </c>
      <c r="G298" s="8">
        <v>5131</v>
      </c>
      <c r="H298" s="4">
        <f t="shared" si="342"/>
        <v>0</v>
      </c>
      <c r="I298" s="4">
        <f t="shared" si="343"/>
        <v>5131</v>
      </c>
      <c r="J298" s="4">
        <f t="shared" si="344"/>
        <v>0</v>
      </c>
      <c r="K298" s="4">
        <f t="shared" si="345"/>
        <v>0</v>
      </c>
      <c r="L298" s="4">
        <f t="shared" si="346"/>
        <v>0</v>
      </c>
      <c r="M298" s="4">
        <f t="shared" si="347"/>
        <v>0</v>
      </c>
      <c r="N298" s="4">
        <f t="shared" si="348"/>
        <v>0</v>
      </c>
      <c r="O298" s="5">
        <f t="shared" si="349"/>
        <v>43</v>
      </c>
      <c r="P298" s="6" t="str">
        <f t="shared" si="350"/>
        <v>31 TO 45 Days</v>
      </c>
      <c r="Q298" s="7">
        <v>42855</v>
      </c>
      <c r="R298" s="6" t="s">
        <v>2178</v>
      </c>
      <c r="Y298" s="1" t="str">
        <f>"4540131112"</f>
        <v>4540131112</v>
      </c>
    </row>
    <row r="299" spans="1:25" x14ac:dyDescent="0.2">
      <c r="A299" s="9" t="s">
        <v>1706</v>
      </c>
      <c r="B299" s="10">
        <v>42830</v>
      </c>
      <c r="C299" s="9" t="s">
        <v>1707</v>
      </c>
      <c r="D299" s="9" t="s">
        <v>38</v>
      </c>
      <c r="E299" s="9" t="s">
        <v>2190</v>
      </c>
      <c r="F299" s="9">
        <v>700000</v>
      </c>
      <c r="G299" s="8">
        <v>5138</v>
      </c>
      <c r="H299" s="4">
        <f t="shared" si="342"/>
        <v>5138</v>
      </c>
      <c r="I299" s="4">
        <f t="shared" si="343"/>
        <v>0</v>
      </c>
      <c r="J299" s="4">
        <f t="shared" si="344"/>
        <v>0</v>
      </c>
      <c r="K299" s="4">
        <f t="shared" si="345"/>
        <v>0</v>
      </c>
      <c r="L299" s="4">
        <f t="shared" si="346"/>
        <v>0</v>
      </c>
      <c r="M299" s="4">
        <f t="shared" si="347"/>
        <v>0</v>
      </c>
      <c r="N299" s="4">
        <f t="shared" si="348"/>
        <v>0</v>
      </c>
      <c r="O299" s="5">
        <f t="shared" si="349"/>
        <v>25</v>
      </c>
      <c r="P299" s="6" t="str">
        <f t="shared" si="350"/>
        <v>30 Days</v>
      </c>
      <c r="Q299" s="7">
        <v>42855</v>
      </c>
      <c r="R299" s="6" t="s">
        <v>2178</v>
      </c>
      <c r="Y299" s="1" t="str">
        <f>"417268251"</f>
        <v>417268251</v>
      </c>
    </row>
    <row r="300" spans="1:25" x14ac:dyDescent="0.2">
      <c r="A300" s="9" t="s">
        <v>1454</v>
      </c>
      <c r="B300" s="10">
        <v>42824</v>
      </c>
      <c r="C300" s="9" t="s">
        <v>1455</v>
      </c>
      <c r="D300" s="9" t="s">
        <v>17</v>
      </c>
      <c r="E300" s="9" t="s">
        <v>2190</v>
      </c>
      <c r="F300" s="9">
        <v>500000</v>
      </c>
      <c r="G300" s="8">
        <v>5141</v>
      </c>
      <c r="H300" s="4">
        <f t="shared" si="342"/>
        <v>0</v>
      </c>
      <c r="I300" s="4">
        <f t="shared" si="343"/>
        <v>5141</v>
      </c>
      <c r="J300" s="4">
        <f t="shared" si="344"/>
        <v>0</v>
      </c>
      <c r="K300" s="4">
        <f t="shared" si="345"/>
        <v>0</v>
      </c>
      <c r="L300" s="4">
        <f t="shared" si="346"/>
        <v>0</v>
      </c>
      <c r="M300" s="4">
        <f t="shared" si="347"/>
        <v>0</v>
      </c>
      <c r="N300" s="4">
        <f t="shared" si="348"/>
        <v>0</v>
      </c>
      <c r="O300" s="5">
        <f t="shared" si="349"/>
        <v>31</v>
      </c>
      <c r="P300" s="6" t="str">
        <f t="shared" si="350"/>
        <v>31 TO 45 Days</v>
      </c>
      <c r="Q300" s="7">
        <v>42855</v>
      </c>
      <c r="R300" s="6" t="s">
        <v>2178</v>
      </c>
      <c r="Y300" s="1" t="str">
        <f>"4540131384"</f>
        <v>4540131384</v>
      </c>
    </row>
    <row r="301" spans="1:25" x14ac:dyDescent="0.2">
      <c r="A301" s="9" t="s">
        <v>1286</v>
      </c>
      <c r="B301" s="10">
        <v>42818</v>
      </c>
      <c r="C301" s="9" t="s">
        <v>1287</v>
      </c>
      <c r="D301" s="9" t="s">
        <v>144</v>
      </c>
      <c r="E301" s="9" t="s">
        <v>2190</v>
      </c>
      <c r="F301" s="9">
        <v>2300000</v>
      </c>
      <c r="G301" s="8">
        <v>5144</v>
      </c>
      <c r="H301" s="4">
        <f t="shared" si="342"/>
        <v>0</v>
      </c>
      <c r="I301" s="4">
        <f t="shared" si="343"/>
        <v>5144</v>
      </c>
      <c r="J301" s="4">
        <f t="shared" si="344"/>
        <v>0</v>
      </c>
      <c r="K301" s="4">
        <f t="shared" si="345"/>
        <v>0</v>
      </c>
      <c r="L301" s="4">
        <f t="shared" si="346"/>
        <v>0</v>
      </c>
      <c r="M301" s="4">
        <f t="shared" si="347"/>
        <v>0</v>
      </c>
      <c r="N301" s="4">
        <f t="shared" si="348"/>
        <v>0</v>
      </c>
      <c r="O301" s="5">
        <f t="shared" si="349"/>
        <v>37</v>
      </c>
      <c r="P301" s="6" t="str">
        <f t="shared" si="350"/>
        <v>31 TO 45 Days</v>
      </c>
      <c r="Q301" s="7">
        <v>42855</v>
      </c>
      <c r="R301" s="6" t="s">
        <v>2178</v>
      </c>
      <c r="Y301" s="1" t="str">
        <f>"4912895209"</f>
        <v>4912895209</v>
      </c>
    </row>
    <row r="302" spans="1:25" x14ac:dyDescent="0.2">
      <c r="A302" s="9" t="s">
        <v>634</v>
      </c>
      <c r="B302" s="10">
        <v>42787</v>
      </c>
      <c r="C302" s="9" t="s">
        <v>635</v>
      </c>
      <c r="D302" s="9" t="s">
        <v>161</v>
      </c>
      <c r="E302" s="9" t="s">
        <v>2190</v>
      </c>
      <c r="F302" s="9">
        <v>0</v>
      </c>
      <c r="G302" s="8">
        <v>5148</v>
      </c>
      <c r="H302" s="4">
        <f t="shared" si="342"/>
        <v>0</v>
      </c>
      <c r="I302" s="4">
        <f t="shared" si="343"/>
        <v>0</v>
      </c>
      <c r="J302" s="4">
        <f t="shared" si="344"/>
        <v>0</v>
      </c>
      <c r="K302" s="4">
        <f t="shared" si="345"/>
        <v>5148</v>
      </c>
      <c r="L302" s="4">
        <f t="shared" si="346"/>
        <v>0</v>
      </c>
      <c r="M302" s="4">
        <f t="shared" si="347"/>
        <v>0</v>
      </c>
      <c r="N302" s="4">
        <f t="shared" si="348"/>
        <v>5148</v>
      </c>
      <c r="O302" s="5">
        <f t="shared" si="349"/>
        <v>68</v>
      </c>
      <c r="P302" s="6" t="str">
        <f t="shared" si="350"/>
        <v>61 To 90 Days</v>
      </c>
      <c r="Q302" s="7">
        <v>42855</v>
      </c>
      <c r="R302" s="6" t="s">
        <v>2178</v>
      </c>
      <c r="Y302" s="1" t="str">
        <f>"4711230152"</f>
        <v>4711230152</v>
      </c>
    </row>
    <row r="303" spans="1:25" x14ac:dyDescent="0.2">
      <c r="A303" s="9" t="s">
        <v>1282</v>
      </c>
      <c r="B303" s="10">
        <v>42818</v>
      </c>
      <c r="C303" s="9" t="s">
        <v>1283</v>
      </c>
      <c r="D303" s="9" t="s">
        <v>144</v>
      </c>
      <c r="E303" s="9" t="s">
        <v>2190</v>
      </c>
      <c r="F303" s="9">
        <v>2300000</v>
      </c>
      <c r="G303" s="8">
        <v>5155</v>
      </c>
      <c r="H303" s="4">
        <f t="shared" si="342"/>
        <v>0</v>
      </c>
      <c r="I303" s="4">
        <f t="shared" si="343"/>
        <v>5155</v>
      </c>
      <c r="J303" s="4">
        <f t="shared" si="344"/>
        <v>0</v>
      </c>
      <c r="K303" s="4">
        <f t="shared" si="345"/>
        <v>0</v>
      </c>
      <c r="L303" s="4">
        <f t="shared" si="346"/>
        <v>0</v>
      </c>
      <c r="M303" s="4">
        <f t="shared" si="347"/>
        <v>0</v>
      </c>
      <c r="N303" s="4">
        <f t="shared" si="348"/>
        <v>0</v>
      </c>
      <c r="O303" s="5">
        <f t="shared" si="349"/>
        <v>37</v>
      </c>
      <c r="P303" s="6" t="str">
        <f t="shared" si="350"/>
        <v>31 TO 45 Days</v>
      </c>
      <c r="Q303" s="7">
        <v>42855</v>
      </c>
      <c r="R303" s="6" t="s">
        <v>2178</v>
      </c>
      <c r="Y303" s="1" t="str">
        <f>"4912900814"</f>
        <v>4912900814</v>
      </c>
    </row>
    <row r="304" spans="1:25" x14ac:dyDescent="0.2">
      <c r="A304" s="9" t="s">
        <v>2065</v>
      </c>
      <c r="B304" s="10">
        <v>42837</v>
      </c>
      <c r="C304" s="9" t="s">
        <v>2066</v>
      </c>
      <c r="D304" s="9" t="s">
        <v>144</v>
      </c>
      <c r="E304" s="9" t="s">
        <v>2190</v>
      </c>
      <c r="F304" s="9">
        <v>2300000</v>
      </c>
      <c r="G304" s="8">
        <v>5158</v>
      </c>
      <c r="H304" s="4">
        <f t="shared" si="342"/>
        <v>5158</v>
      </c>
      <c r="I304" s="4">
        <f t="shared" si="343"/>
        <v>0</v>
      </c>
      <c r="J304" s="4">
        <f t="shared" si="344"/>
        <v>0</v>
      </c>
      <c r="K304" s="4">
        <f t="shared" si="345"/>
        <v>0</v>
      </c>
      <c r="L304" s="4">
        <f t="shared" si="346"/>
        <v>0</v>
      </c>
      <c r="M304" s="4">
        <f t="shared" si="347"/>
        <v>0</v>
      </c>
      <c r="N304" s="4">
        <f t="shared" si="348"/>
        <v>0</v>
      </c>
      <c r="O304" s="5">
        <f t="shared" si="349"/>
        <v>18</v>
      </c>
      <c r="P304" s="6" t="str">
        <f t="shared" si="350"/>
        <v>30 Days</v>
      </c>
      <c r="Q304" s="7">
        <v>42855</v>
      </c>
      <c r="R304" s="6" t="str">
        <f>VLOOKUP(A304:A4272,[1]BOM_INV_OPERATOR_DETAILS_OUTPUT!$A$2:$D$1233,4,FALSE)</f>
        <v>AI</v>
      </c>
      <c r="Y304" s="1" t="str">
        <f>"4912920588"</f>
        <v>4912920588</v>
      </c>
    </row>
    <row r="305" spans="1:25" x14ac:dyDescent="0.2">
      <c r="A305" s="9" t="s">
        <v>186</v>
      </c>
      <c r="B305" s="10">
        <v>42787</v>
      </c>
      <c r="C305" s="9" t="s">
        <v>187</v>
      </c>
      <c r="D305" s="9" t="s">
        <v>161</v>
      </c>
      <c r="E305" s="9" t="s">
        <v>2190</v>
      </c>
      <c r="F305" s="9">
        <v>0</v>
      </c>
      <c r="G305" s="8">
        <v>5165</v>
      </c>
      <c r="H305" s="4">
        <f t="shared" si="342"/>
        <v>0</v>
      </c>
      <c r="I305" s="4">
        <f t="shared" si="343"/>
        <v>0</v>
      </c>
      <c r="J305" s="4">
        <f t="shared" si="344"/>
        <v>0</v>
      </c>
      <c r="K305" s="4">
        <f t="shared" si="345"/>
        <v>5165</v>
      </c>
      <c r="L305" s="4">
        <f t="shared" si="346"/>
        <v>0</v>
      </c>
      <c r="M305" s="4">
        <f t="shared" si="347"/>
        <v>0</v>
      </c>
      <c r="N305" s="4">
        <f t="shared" si="348"/>
        <v>5165</v>
      </c>
      <c r="O305" s="5">
        <f t="shared" si="349"/>
        <v>68</v>
      </c>
      <c r="P305" s="6" t="str">
        <f t="shared" si="350"/>
        <v>61 To 90 Days</v>
      </c>
      <c r="Q305" s="7">
        <v>42855</v>
      </c>
      <c r="R305" s="6" t="s">
        <v>2178</v>
      </c>
      <c r="Y305" s="1" t="str">
        <f>"4711229458"</f>
        <v>4711229458</v>
      </c>
    </row>
    <row r="306" spans="1:25" x14ac:dyDescent="0.2">
      <c r="A306" s="9" t="s">
        <v>632</v>
      </c>
      <c r="B306" s="10">
        <v>42787</v>
      </c>
      <c r="C306" s="9" t="s">
        <v>633</v>
      </c>
      <c r="D306" s="9" t="s">
        <v>161</v>
      </c>
      <c r="E306" s="9" t="s">
        <v>2190</v>
      </c>
      <c r="F306" s="9">
        <v>0</v>
      </c>
      <c r="G306" s="8">
        <v>5179</v>
      </c>
      <c r="H306" s="4">
        <f t="shared" si="342"/>
        <v>0</v>
      </c>
      <c r="I306" s="4">
        <f t="shared" si="343"/>
        <v>0</v>
      </c>
      <c r="J306" s="4">
        <f t="shared" si="344"/>
        <v>0</v>
      </c>
      <c r="K306" s="4">
        <f t="shared" si="345"/>
        <v>5179</v>
      </c>
      <c r="L306" s="4">
        <f t="shared" si="346"/>
        <v>0</v>
      </c>
      <c r="M306" s="4">
        <f t="shared" si="347"/>
        <v>0</v>
      </c>
      <c r="N306" s="4">
        <f t="shared" si="348"/>
        <v>5179</v>
      </c>
      <c r="O306" s="5">
        <f t="shared" si="349"/>
        <v>68</v>
      </c>
      <c r="P306" s="6" t="str">
        <f t="shared" si="350"/>
        <v>61 To 90 Days</v>
      </c>
      <c r="Q306" s="7">
        <v>42855</v>
      </c>
      <c r="R306" s="6" t="s">
        <v>2178</v>
      </c>
      <c r="Y306" s="1" t="str">
        <f>"4912876553"</f>
        <v>4912876553</v>
      </c>
    </row>
    <row r="307" spans="1:25" x14ac:dyDescent="0.2">
      <c r="A307" s="9" t="s">
        <v>1902</v>
      </c>
      <c r="B307" s="10">
        <v>42835</v>
      </c>
      <c r="C307" s="9" t="s">
        <v>1903</v>
      </c>
      <c r="D307" s="9" t="s">
        <v>144</v>
      </c>
      <c r="E307" s="9" t="s">
        <v>2190</v>
      </c>
      <c r="F307" s="9">
        <v>2300000</v>
      </c>
      <c r="G307" s="8">
        <v>5179</v>
      </c>
      <c r="H307" s="4">
        <f t="shared" si="342"/>
        <v>5179</v>
      </c>
      <c r="I307" s="4">
        <f t="shared" si="343"/>
        <v>0</v>
      </c>
      <c r="J307" s="4">
        <f t="shared" si="344"/>
        <v>0</v>
      </c>
      <c r="K307" s="4">
        <f t="shared" si="345"/>
        <v>0</v>
      </c>
      <c r="L307" s="4">
        <f t="shared" si="346"/>
        <v>0</v>
      </c>
      <c r="M307" s="4">
        <f t="shared" si="347"/>
        <v>0</v>
      </c>
      <c r="N307" s="4">
        <f t="shared" si="348"/>
        <v>0</v>
      </c>
      <c r="O307" s="5">
        <f t="shared" si="349"/>
        <v>20</v>
      </c>
      <c r="P307" s="6" t="str">
        <f t="shared" si="350"/>
        <v>30 Days</v>
      </c>
      <c r="Q307" s="7">
        <v>42855</v>
      </c>
      <c r="R307" s="6" t="str">
        <f>VLOOKUP(A307:A4283,[1]BOM_INV_OPERATOR_DETAILS_OUTPUT!$A$2:$D$1233,4,FALSE)</f>
        <v>AI</v>
      </c>
      <c r="Y307" s="1" t="str">
        <f>"4912914332"</f>
        <v>4912914332</v>
      </c>
    </row>
    <row r="308" spans="1:25" x14ac:dyDescent="0.2">
      <c r="A308" s="9" t="s">
        <v>379</v>
      </c>
      <c r="B308" s="10">
        <v>42759</v>
      </c>
      <c r="C308" s="9" t="s">
        <v>380</v>
      </c>
      <c r="D308" s="9" t="s">
        <v>161</v>
      </c>
      <c r="E308" s="9" t="s">
        <v>2190</v>
      </c>
      <c r="F308" s="9">
        <v>0</v>
      </c>
      <c r="G308" s="8">
        <v>5187</v>
      </c>
      <c r="H308" s="4">
        <f t="shared" si="342"/>
        <v>0</v>
      </c>
      <c r="I308" s="4">
        <f t="shared" si="343"/>
        <v>0</v>
      </c>
      <c r="J308" s="4">
        <f t="shared" si="344"/>
        <v>0</v>
      </c>
      <c r="K308" s="4">
        <f t="shared" si="345"/>
        <v>0</v>
      </c>
      <c r="L308" s="4">
        <f t="shared" si="346"/>
        <v>5187</v>
      </c>
      <c r="M308" s="4">
        <f t="shared" si="347"/>
        <v>0</v>
      </c>
      <c r="N308" s="4">
        <f t="shared" si="348"/>
        <v>5187</v>
      </c>
      <c r="O308" s="5">
        <f t="shared" si="349"/>
        <v>96</v>
      </c>
      <c r="P308" s="6" t="str">
        <f t="shared" si="350"/>
        <v>91 To 120 Days</v>
      </c>
      <c r="Q308" s="7">
        <v>42855</v>
      </c>
      <c r="R308" s="6" t="s">
        <v>2178</v>
      </c>
      <c r="Y308" s="1" t="str">
        <f>"4711223378"</f>
        <v>4711223378</v>
      </c>
    </row>
    <row r="309" spans="1:25" x14ac:dyDescent="0.2">
      <c r="A309" s="9" t="s">
        <v>888</v>
      </c>
      <c r="B309" s="10">
        <v>42798</v>
      </c>
      <c r="C309" s="9" t="s">
        <v>889</v>
      </c>
      <c r="D309" s="9" t="s">
        <v>38</v>
      </c>
      <c r="E309" s="9" t="s">
        <v>2190</v>
      </c>
      <c r="F309" s="9">
        <v>700000</v>
      </c>
      <c r="G309" s="8">
        <v>5190</v>
      </c>
      <c r="H309" s="4">
        <f t="shared" si="342"/>
        <v>0</v>
      </c>
      <c r="I309" s="4">
        <f t="shared" si="343"/>
        <v>0</v>
      </c>
      <c r="J309" s="4">
        <f t="shared" si="344"/>
        <v>5190</v>
      </c>
      <c r="K309" s="4">
        <f t="shared" si="345"/>
        <v>0</v>
      </c>
      <c r="L309" s="4">
        <f t="shared" si="346"/>
        <v>0</v>
      </c>
      <c r="M309" s="4">
        <f t="shared" si="347"/>
        <v>0</v>
      </c>
      <c r="N309" s="4">
        <f t="shared" si="348"/>
        <v>0</v>
      </c>
      <c r="O309" s="5">
        <f t="shared" si="349"/>
        <v>57</v>
      </c>
      <c r="P309" s="6" t="str">
        <f t="shared" si="350"/>
        <v>46 To 60 Days</v>
      </c>
      <c r="Q309" s="7">
        <v>42855</v>
      </c>
      <c r="R309" s="6" t="s">
        <v>2178</v>
      </c>
      <c r="Y309" s="1" t="str">
        <f>"4520086054"</f>
        <v>4520086054</v>
      </c>
    </row>
    <row r="310" spans="1:25" x14ac:dyDescent="0.2">
      <c r="A310" s="9" t="s">
        <v>667</v>
      </c>
      <c r="B310" s="10">
        <v>42789</v>
      </c>
      <c r="C310" s="9" t="s">
        <v>668</v>
      </c>
      <c r="D310" s="9" t="s">
        <v>162</v>
      </c>
      <c r="E310" s="9" t="s">
        <v>2190</v>
      </c>
      <c r="F310" s="9">
        <v>300000</v>
      </c>
      <c r="G310" s="8">
        <v>5191</v>
      </c>
      <c r="H310" s="4">
        <f t="shared" si="342"/>
        <v>0</v>
      </c>
      <c r="I310" s="4">
        <f t="shared" si="343"/>
        <v>0</v>
      </c>
      <c r="J310" s="4">
        <f t="shared" si="344"/>
        <v>0</v>
      </c>
      <c r="K310" s="4">
        <f t="shared" si="345"/>
        <v>5191</v>
      </c>
      <c r="L310" s="4">
        <f t="shared" si="346"/>
        <v>0</v>
      </c>
      <c r="M310" s="4">
        <f t="shared" si="347"/>
        <v>0</v>
      </c>
      <c r="N310" s="4">
        <f t="shared" si="348"/>
        <v>5191</v>
      </c>
      <c r="O310" s="5">
        <f t="shared" si="349"/>
        <v>66</v>
      </c>
      <c r="P310" s="6" t="str">
        <f t="shared" si="350"/>
        <v>61 To 90 Days</v>
      </c>
      <c r="Q310" s="7">
        <v>42855</v>
      </c>
      <c r="R310" s="6" t="s">
        <v>2178</v>
      </c>
      <c r="Y310" s="1" t="str">
        <f>"418439474"</f>
        <v>418439474</v>
      </c>
    </row>
    <row r="311" spans="1:25" x14ac:dyDescent="0.2">
      <c r="A311" s="9" t="s">
        <v>1397</v>
      </c>
      <c r="B311" s="10">
        <v>42822</v>
      </c>
      <c r="C311" s="9" t="s">
        <v>1398</v>
      </c>
      <c r="D311" s="9" t="s">
        <v>144</v>
      </c>
      <c r="E311" s="9" t="s">
        <v>2190</v>
      </c>
      <c r="F311" s="9">
        <v>2300000</v>
      </c>
      <c r="G311" s="8">
        <v>5195</v>
      </c>
      <c r="H311" s="4">
        <f t="shared" si="342"/>
        <v>0</v>
      </c>
      <c r="I311" s="4">
        <f t="shared" si="343"/>
        <v>5195</v>
      </c>
      <c r="J311" s="4">
        <f t="shared" si="344"/>
        <v>0</v>
      </c>
      <c r="K311" s="4">
        <f t="shared" si="345"/>
        <v>0</v>
      </c>
      <c r="L311" s="4">
        <f t="shared" si="346"/>
        <v>0</v>
      </c>
      <c r="M311" s="4">
        <f t="shared" si="347"/>
        <v>0</v>
      </c>
      <c r="N311" s="4">
        <f t="shared" si="348"/>
        <v>0</v>
      </c>
      <c r="O311" s="5">
        <f t="shared" si="349"/>
        <v>33</v>
      </c>
      <c r="P311" s="6" t="str">
        <f t="shared" si="350"/>
        <v>31 TO 45 Days</v>
      </c>
      <c r="Q311" s="7">
        <v>42855</v>
      </c>
      <c r="R311" s="6" t="s">
        <v>2178</v>
      </c>
      <c r="Y311" s="1" t="str">
        <f>"4912903162"</f>
        <v>4912903162</v>
      </c>
    </row>
    <row r="312" spans="1:25" x14ac:dyDescent="0.2">
      <c r="A312" s="9" t="s">
        <v>669</v>
      </c>
      <c r="B312" s="10">
        <v>42789</v>
      </c>
      <c r="C312" s="9" t="s">
        <v>670</v>
      </c>
      <c r="D312" s="9" t="s">
        <v>41</v>
      </c>
      <c r="E312" s="9" t="s">
        <v>2190</v>
      </c>
      <c r="F312" s="9">
        <v>500000</v>
      </c>
      <c r="G312" s="8">
        <v>5208</v>
      </c>
      <c r="H312" s="4">
        <f t="shared" si="342"/>
        <v>0</v>
      </c>
      <c r="I312" s="4">
        <f t="shared" si="343"/>
        <v>0</v>
      </c>
      <c r="J312" s="4">
        <f t="shared" si="344"/>
        <v>0</v>
      </c>
      <c r="K312" s="4">
        <f t="shared" si="345"/>
        <v>5208</v>
      </c>
      <c r="L312" s="4">
        <f t="shared" si="346"/>
        <v>0</v>
      </c>
      <c r="M312" s="4">
        <f t="shared" si="347"/>
        <v>0</v>
      </c>
      <c r="N312" s="4">
        <f t="shared" si="348"/>
        <v>5208</v>
      </c>
      <c r="O312" s="5">
        <f t="shared" si="349"/>
        <v>66</v>
      </c>
      <c r="P312" s="6" t="str">
        <f t="shared" si="350"/>
        <v>61 To 90 Days</v>
      </c>
      <c r="Q312" s="7">
        <v>42855</v>
      </c>
      <c r="R312" s="6" t="s">
        <v>2178</v>
      </c>
      <c r="Y312" s="1" t="str">
        <f>"4395805823"</f>
        <v>4395805823</v>
      </c>
    </row>
    <row r="313" spans="1:25" x14ac:dyDescent="0.2">
      <c r="A313" s="9" t="s">
        <v>919</v>
      </c>
      <c r="B313" s="10">
        <v>42800</v>
      </c>
      <c r="C313" s="9" t="s">
        <v>920</v>
      </c>
      <c r="D313" s="9" t="s">
        <v>42</v>
      </c>
      <c r="E313" s="9" t="s">
        <v>2190</v>
      </c>
      <c r="F313" s="9">
        <v>1480000</v>
      </c>
      <c r="G313" s="8">
        <v>5229</v>
      </c>
      <c r="H313" s="4">
        <f t="shared" si="342"/>
        <v>0</v>
      </c>
      <c r="I313" s="4">
        <f t="shared" si="343"/>
        <v>0</v>
      </c>
      <c r="J313" s="4">
        <f t="shared" si="344"/>
        <v>5229</v>
      </c>
      <c r="K313" s="4">
        <f t="shared" si="345"/>
        <v>0</v>
      </c>
      <c r="L313" s="4">
        <f t="shared" si="346"/>
        <v>0</v>
      </c>
      <c r="M313" s="4">
        <f t="shared" si="347"/>
        <v>0</v>
      </c>
      <c r="N313" s="4">
        <f t="shared" si="348"/>
        <v>0</v>
      </c>
      <c r="O313" s="5">
        <f t="shared" si="349"/>
        <v>55</v>
      </c>
      <c r="P313" s="6" t="str">
        <f t="shared" si="350"/>
        <v>46 To 60 Days</v>
      </c>
      <c r="Q313" s="7">
        <v>42855</v>
      </c>
      <c r="R313" s="6" t="s">
        <v>2178</v>
      </c>
      <c r="Y313" s="1" t="str">
        <f>"4540130688"</f>
        <v>4540130688</v>
      </c>
    </row>
    <row r="314" spans="1:25" x14ac:dyDescent="0.2">
      <c r="A314" s="9" t="s">
        <v>774</v>
      </c>
      <c r="B314" s="10">
        <v>42793</v>
      </c>
      <c r="C314" s="9" t="s">
        <v>775</v>
      </c>
      <c r="D314" s="9" t="s">
        <v>270</v>
      </c>
      <c r="E314" s="9" t="s">
        <v>2190</v>
      </c>
      <c r="F314" s="9">
        <v>0</v>
      </c>
      <c r="G314" s="8">
        <v>5236</v>
      </c>
      <c r="H314" s="4">
        <f t="shared" ref="H314:H329" si="351">IF(O314&lt;=30,G314,0)</f>
        <v>0</v>
      </c>
      <c r="I314" s="4">
        <f t="shared" ref="I314:I329" si="352">IF(AND(O314&gt;30,O314&lt;=45),G314,0)</f>
        <v>0</v>
      </c>
      <c r="J314" s="4">
        <f t="shared" ref="J314:J329" si="353">IF(AND(O314&gt;45,O314&lt;=60),G314,0)</f>
        <v>0</v>
      </c>
      <c r="K314" s="4">
        <f t="shared" ref="K314:K329" si="354">IF(AND(O314&gt;60,O314&lt;=90),G314,0)</f>
        <v>5236</v>
      </c>
      <c r="L314" s="4">
        <f t="shared" ref="L314:L329" si="355">IF(AND(O314&gt;90,O314&lt;=120),G314,0)</f>
        <v>0</v>
      </c>
      <c r="M314" s="4">
        <f t="shared" ref="M314:M329" si="356">IF(O314&gt;120,G314,0)</f>
        <v>0</v>
      </c>
      <c r="N314" s="4">
        <f t="shared" ref="N314:N329" si="357">IF(O314&gt;60,G314,0)</f>
        <v>5236</v>
      </c>
      <c r="O314" s="5">
        <f t="shared" ref="O314:O329" si="358">Q314-B314</f>
        <v>62</v>
      </c>
      <c r="P314" s="6" t="str">
        <f t="shared" ref="P314:P329" si="359">IF(AND(O314&lt;=30),"30 Days",IF(AND(O314&gt;30,O314&lt;=45),"31 TO 45 Days",IF(AND(O314&gt;45,O314&lt;=60),"46 To 60 Days",IF(AND(O314&gt;60,O314&lt;=90),"61 To 90 Days",IF(AND(O314&gt;90,O314&lt;=120),"91 To 120 Days",IF(AND(O314&gt;120),"Plus120Days",))))))</f>
        <v>61 To 90 Days</v>
      </c>
      <c r="Q314" s="7">
        <v>42855</v>
      </c>
      <c r="R314" s="6" t="s">
        <v>2178</v>
      </c>
      <c r="Y314" s="1" t="str">
        <f>"4560217793"</f>
        <v>4560217793</v>
      </c>
    </row>
    <row r="315" spans="1:25" x14ac:dyDescent="0.2">
      <c r="A315" s="9" t="s">
        <v>543</v>
      </c>
      <c r="B315" s="10">
        <v>42776</v>
      </c>
      <c r="C315" s="9" t="s">
        <v>544</v>
      </c>
      <c r="D315" s="9" t="s">
        <v>162</v>
      </c>
      <c r="E315" s="9" t="s">
        <v>2190</v>
      </c>
      <c r="F315" s="9">
        <v>300000</v>
      </c>
      <c r="G315" s="8">
        <v>5239</v>
      </c>
      <c r="H315" s="4">
        <f t="shared" si="351"/>
        <v>0</v>
      </c>
      <c r="I315" s="4">
        <f t="shared" si="352"/>
        <v>0</v>
      </c>
      <c r="J315" s="4">
        <f t="shared" si="353"/>
        <v>0</v>
      </c>
      <c r="K315" s="4">
        <f t="shared" si="354"/>
        <v>5239</v>
      </c>
      <c r="L315" s="4">
        <f t="shared" si="355"/>
        <v>0</v>
      </c>
      <c r="M315" s="4">
        <f t="shared" si="356"/>
        <v>0</v>
      </c>
      <c r="N315" s="4">
        <f t="shared" si="357"/>
        <v>5239</v>
      </c>
      <c r="O315" s="5">
        <f t="shared" si="358"/>
        <v>79</v>
      </c>
      <c r="P315" s="6" t="str">
        <f t="shared" si="359"/>
        <v>61 To 90 Days</v>
      </c>
      <c r="Q315" s="7">
        <v>42855</v>
      </c>
      <c r="R315" s="6" t="s">
        <v>2178</v>
      </c>
      <c r="Y315" s="1" t="str">
        <f>"419165126"</f>
        <v>419165126</v>
      </c>
    </row>
    <row r="316" spans="1:25" x14ac:dyDescent="0.2">
      <c r="A316" s="9" t="s">
        <v>1935</v>
      </c>
      <c r="B316" s="10">
        <v>42835</v>
      </c>
      <c r="C316" s="9" t="s">
        <v>1936</v>
      </c>
      <c r="D316" s="9" t="s">
        <v>133</v>
      </c>
      <c r="E316" s="9" t="s">
        <v>2190</v>
      </c>
      <c r="F316" s="9">
        <v>20000000</v>
      </c>
      <c r="G316" s="8">
        <v>5240</v>
      </c>
      <c r="H316" s="4">
        <f t="shared" si="351"/>
        <v>5240</v>
      </c>
      <c r="I316" s="4">
        <f t="shared" si="352"/>
        <v>0</v>
      </c>
      <c r="J316" s="4">
        <f t="shared" si="353"/>
        <v>0</v>
      </c>
      <c r="K316" s="4">
        <f t="shared" si="354"/>
        <v>0</v>
      </c>
      <c r="L316" s="4">
        <f t="shared" si="355"/>
        <v>0</v>
      </c>
      <c r="M316" s="4">
        <f t="shared" si="356"/>
        <v>0</v>
      </c>
      <c r="N316" s="4">
        <f t="shared" si="357"/>
        <v>0</v>
      </c>
      <c r="O316" s="5">
        <f t="shared" si="358"/>
        <v>20</v>
      </c>
      <c r="P316" s="6" t="str">
        <f t="shared" si="359"/>
        <v>30 Days</v>
      </c>
      <c r="Q316" s="7">
        <v>42855</v>
      </c>
      <c r="R316" s="6" t="str">
        <f>VLOOKUP(A316:A4308,[1]BOM_INV_OPERATOR_DETAILS_OUTPUT!$A$2:$D$1233,4,FALSE)</f>
        <v>AI</v>
      </c>
      <c r="V316" s="1" t="s">
        <v>13</v>
      </c>
      <c r="W316" s="2">
        <v>42835</v>
      </c>
      <c r="X316" s="1" t="s">
        <v>14</v>
      </c>
      <c r="Y316" s="1" t="str">
        <f>"4750389781"</f>
        <v>4750389781</v>
      </c>
    </row>
    <row r="317" spans="1:25" x14ac:dyDescent="0.2">
      <c r="A317" s="9" t="s">
        <v>882</v>
      </c>
      <c r="B317" s="10">
        <v>42797</v>
      </c>
      <c r="C317" s="9" t="s">
        <v>883</v>
      </c>
      <c r="D317" s="9" t="s">
        <v>778</v>
      </c>
      <c r="E317" s="9" t="s">
        <v>2190</v>
      </c>
      <c r="F317" s="9">
        <v>200000</v>
      </c>
      <c r="G317" s="8">
        <v>5257</v>
      </c>
      <c r="H317" s="4">
        <f t="shared" si="351"/>
        <v>0</v>
      </c>
      <c r="I317" s="4">
        <f t="shared" si="352"/>
        <v>0</v>
      </c>
      <c r="J317" s="4">
        <f t="shared" si="353"/>
        <v>5257</v>
      </c>
      <c r="K317" s="4">
        <f t="shared" si="354"/>
        <v>0</v>
      </c>
      <c r="L317" s="4">
        <f t="shared" si="355"/>
        <v>0</v>
      </c>
      <c r="M317" s="4">
        <f t="shared" si="356"/>
        <v>0</v>
      </c>
      <c r="N317" s="4">
        <f t="shared" si="357"/>
        <v>0</v>
      </c>
      <c r="O317" s="5">
        <f t="shared" si="358"/>
        <v>58</v>
      </c>
      <c r="P317" s="6" t="str">
        <f t="shared" si="359"/>
        <v>46 To 60 Days</v>
      </c>
      <c r="Q317" s="7">
        <v>42855</v>
      </c>
      <c r="R317" s="6" t="s">
        <v>2178</v>
      </c>
      <c r="Y317" s="1" t="str">
        <f>"4760146751"</f>
        <v>4760146751</v>
      </c>
    </row>
    <row r="318" spans="1:25" x14ac:dyDescent="0.2">
      <c r="A318" s="9" t="s">
        <v>575</v>
      </c>
      <c r="B318" s="10">
        <v>42780</v>
      </c>
      <c r="C318" s="9" t="s">
        <v>576</v>
      </c>
      <c r="D318" s="9" t="s">
        <v>42</v>
      </c>
      <c r="E318" s="9" t="s">
        <v>2190</v>
      </c>
      <c r="F318" s="9">
        <v>1480000</v>
      </c>
      <c r="G318" s="8">
        <v>5284</v>
      </c>
      <c r="H318" s="4">
        <f t="shared" si="351"/>
        <v>0</v>
      </c>
      <c r="I318" s="4">
        <f t="shared" si="352"/>
        <v>0</v>
      </c>
      <c r="J318" s="4">
        <f t="shared" si="353"/>
        <v>0</v>
      </c>
      <c r="K318" s="4">
        <f t="shared" si="354"/>
        <v>5284</v>
      </c>
      <c r="L318" s="4">
        <f t="shared" si="355"/>
        <v>0</v>
      </c>
      <c r="M318" s="4">
        <f t="shared" si="356"/>
        <v>0</v>
      </c>
      <c r="N318" s="4">
        <f t="shared" si="357"/>
        <v>5284</v>
      </c>
      <c r="O318" s="5">
        <f t="shared" si="358"/>
        <v>75</v>
      </c>
      <c r="P318" s="6" t="str">
        <f t="shared" si="359"/>
        <v>61 To 90 Days</v>
      </c>
      <c r="Q318" s="7">
        <v>42855</v>
      </c>
      <c r="R318" s="6" t="s">
        <v>2178</v>
      </c>
      <c r="Y318" s="1" t="str">
        <f>"4540130180"</f>
        <v>4540130180</v>
      </c>
    </row>
    <row r="319" spans="1:25" x14ac:dyDescent="0.2">
      <c r="A319" s="9" t="s">
        <v>1630</v>
      </c>
      <c r="B319" s="10">
        <v>42828</v>
      </c>
      <c r="C319" s="9" t="s">
        <v>1631</v>
      </c>
      <c r="D319" s="9" t="s">
        <v>1629</v>
      </c>
      <c r="E319" s="9" t="s">
        <v>2190</v>
      </c>
      <c r="F319" s="9" t="e">
        <v>#N/A</v>
      </c>
      <c r="G319" s="8">
        <v>5288</v>
      </c>
      <c r="H319" s="4">
        <f t="shared" si="351"/>
        <v>5288</v>
      </c>
      <c r="I319" s="4">
        <f t="shared" si="352"/>
        <v>0</v>
      </c>
      <c r="J319" s="4">
        <f t="shared" si="353"/>
        <v>0</v>
      </c>
      <c r="K319" s="4">
        <f t="shared" si="354"/>
        <v>0</v>
      </c>
      <c r="L319" s="4">
        <f t="shared" si="355"/>
        <v>0</v>
      </c>
      <c r="M319" s="4">
        <f t="shared" si="356"/>
        <v>0</v>
      </c>
      <c r="N319" s="4">
        <f t="shared" si="357"/>
        <v>0</v>
      </c>
      <c r="O319" s="5">
        <f t="shared" si="358"/>
        <v>27</v>
      </c>
      <c r="P319" s="6" t="str">
        <f t="shared" si="359"/>
        <v>30 Days</v>
      </c>
      <c r="Q319" s="7">
        <v>42855</v>
      </c>
      <c r="R319" s="6" t="s">
        <v>2178</v>
      </c>
      <c r="Y319" s="1" t="str">
        <f>"422350622"</f>
        <v>422350622</v>
      </c>
    </row>
    <row r="320" spans="1:25" x14ac:dyDescent="0.2">
      <c r="A320" s="9" t="s">
        <v>1473</v>
      </c>
      <c r="B320" s="10">
        <v>42824</v>
      </c>
      <c r="C320" s="9" t="s">
        <v>1474</v>
      </c>
      <c r="D320" s="9" t="s">
        <v>175</v>
      </c>
      <c r="E320" s="9" t="s">
        <v>2190</v>
      </c>
      <c r="F320" s="9">
        <v>1500000</v>
      </c>
      <c r="G320" s="8">
        <v>5290</v>
      </c>
      <c r="H320" s="4">
        <f t="shared" si="351"/>
        <v>0</v>
      </c>
      <c r="I320" s="4">
        <f t="shared" si="352"/>
        <v>5290</v>
      </c>
      <c r="J320" s="4">
        <f t="shared" si="353"/>
        <v>0</v>
      </c>
      <c r="K320" s="4">
        <f t="shared" si="354"/>
        <v>0</v>
      </c>
      <c r="L320" s="4">
        <f t="shared" si="355"/>
        <v>0</v>
      </c>
      <c r="M320" s="4">
        <f t="shared" si="356"/>
        <v>0</v>
      </c>
      <c r="N320" s="4">
        <f t="shared" si="357"/>
        <v>0</v>
      </c>
      <c r="O320" s="5">
        <f t="shared" si="358"/>
        <v>31</v>
      </c>
      <c r="P320" s="6" t="str">
        <f t="shared" si="359"/>
        <v>31 TO 45 Days</v>
      </c>
      <c r="Q320" s="7">
        <v>42855</v>
      </c>
      <c r="R320" s="6" t="s">
        <v>2178</v>
      </c>
      <c r="Y320" s="1" t="str">
        <f>"4071588798"</f>
        <v>4071588798</v>
      </c>
    </row>
    <row r="321" spans="1:25" x14ac:dyDescent="0.2">
      <c r="A321" s="9" t="s">
        <v>1475</v>
      </c>
      <c r="B321" s="10">
        <v>42824</v>
      </c>
      <c r="C321" s="9" t="s">
        <v>1476</v>
      </c>
      <c r="D321" s="9" t="s">
        <v>175</v>
      </c>
      <c r="E321" s="9" t="s">
        <v>2190</v>
      </c>
      <c r="F321" s="9">
        <v>1500000</v>
      </c>
      <c r="G321" s="8">
        <v>5290</v>
      </c>
      <c r="H321" s="4">
        <f t="shared" si="351"/>
        <v>0</v>
      </c>
      <c r="I321" s="4">
        <f t="shared" si="352"/>
        <v>5290</v>
      </c>
      <c r="J321" s="4">
        <f t="shared" si="353"/>
        <v>0</v>
      </c>
      <c r="K321" s="4">
        <f t="shared" si="354"/>
        <v>0</v>
      </c>
      <c r="L321" s="4">
        <f t="shared" si="355"/>
        <v>0</v>
      </c>
      <c r="M321" s="4">
        <f t="shared" si="356"/>
        <v>0</v>
      </c>
      <c r="N321" s="4">
        <f t="shared" si="357"/>
        <v>0</v>
      </c>
      <c r="O321" s="5">
        <f t="shared" si="358"/>
        <v>31</v>
      </c>
      <c r="P321" s="6" t="str">
        <f t="shared" si="359"/>
        <v>31 TO 45 Days</v>
      </c>
      <c r="Q321" s="7">
        <v>42855</v>
      </c>
      <c r="R321" s="6" t="s">
        <v>2178</v>
      </c>
      <c r="Y321" s="1" t="str">
        <f>"4071588799"</f>
        <v>4071588799</v>
      </c>
    </row>
    <row r="322" spans="1:25" x14ac:dyDescent="0.2">
      <c r="A322" s="9" t="s">
        <v>1118</v>
      </c>
      <c r="B322" s="10">
        <v>42814</v>
      </c>
      <c r="C322" s="9" t="s">
        <v>1119</v>
      </c>
      <c r="D322" s="9" t="s">
        <v>20</v>
      </c>
      <c r="E322" s="9" t="s">
        <v>2190</v>
      </c>
      <c r="F322" s="9">
        <v>1000000</v>
      </c>
      <c r="G322" s="8">
        <v>5298</v>
      </c>
      <c r="H322" s="4">
        <f t="shared" si="351"/>
        <v>0</v>
      </c>
      <c r="I322" s="4">
        <f t="shared" si="352"/>
        <v>5298</v>
      </c>
      <c r="J322" s="4">
        <f t="shared" si="353"/>
        <v>0</v>
      </c>
      <c r="K322" s="4">
        <f t="shared" si="354"/>
        <v>0</v>
      </c>
      <c r="L322" s="4">
        <f t="shared" si="355"/>
        <v>0</v>
      </c>
      <c r="M322" s="4">
        <f t="shared" si="356"/>
        <v>0</v>
      </c>
      <c r="N322" s="4">
        <f t="shared" si="357"/>
        <v>0</v>
      </c>
      <c r="O322" s="5">
        <f t="shared" si="358"/>
        <v>41</v>
      </c>
      <c r="P322" s="6" t="str">
        <f t="shared" si="359"/>
        <v>31 TO 45 Days</v>
      </c>
      <c r="Q322" s="7">
        <v>42855</v>
      </c>
      <c r="R322" s="6" t="s">
        <v>2178</v>
      </c>
      <c r="Y322" s="1" t="str">
        <f>"4041695218"</f>
        <v>4041695218</v>
      </c>
    </row>
    <row r="323" spans="1:25" x14ac:dyDescent="0.2">
      <c r="A323" s="9" t="s">
        <v>296</v>
      </c>
      <c r="B323" s="10">
        <v>42746</v>
      </c>
      <c r="C323" s="9" t="s">
        <v>297</v>
      </c>
      <c r="D323" s="9" t="s">
        <v>161</v>
      </c>
      <c r="E323" s="9" t="s">
        <v>2190</v>
      </c>
      <c r="F323" s="9">
        <v>0</v>
      </c>
      <c r="G323" s="8">
        <v>5299</v>
      </c>
      <c r="H323" s="4">
        <f t="shared" si="351"/>
        <v>0</v>
      </c>
      <c r="I323" s="4">
        <f t="shared" si="352"/>
        <v>0</v>
      </c>
      <c r="J323" s="4">
        <f t="shared" si="353"/>
        <v>0</v>
      </c>
      <c r="K323" s="4">
        <f t="shared" si="354"/>
        <v>0</v>
      </c>
      <c r="L323" s="4">
        <f t="shared" si="355"/>
        <v>5299</v>
      </c>
      <c r="M323" s="4">
        <f t="shared" si="356"/>
        <v>0</v>
      </c>
      <c r="N323" s="4">
        <f t="shared" si="357"/>
        <v>5299</v>
      </c>
      <c r="O323" s="5">
        <f t="shared" si="358"/>
        <v>109</v>
      </c>
      <c r="P323" s="6" t="str">
        <f t="shared" si="359"/>
        <v>91 To 120 Days</v>
      </c>
      <c r="Q323" s="7">
        <v>42855</v>
      </c>
      <c r="R323" s="6" t="s">
        <v>2178</v>
      </c>
      <c r="Y323" s="1" t="str">
        <f>"4711220988"</f>
        <v>4711220988</v>
      </c>
    </row>
    <row r="324" spans="1:25" x14ac:dyDescent="0.2">
      <c r="A324" s="9" t="s">
        <v>1627</v>
      </c>
      <c r="B324" s="10">
        <v>42828</v>
      </c>
      <c r="C324" s="9" t="s">
        <v>1628</v>
      </c>
      <c r="D324" s="9" t="s">
        <v>1626</v>
      </c>
      <c r="E324" s="9" t="s">
        <v>2190</v>
      </c>
      <c r="F324" s="9">
        <v>0</v>
      </c>
      <c r="G324" s="8">
        <v>5323</v>
      </c>
      <c r="H324" s="4">
        <f t="shared" si="351"/>
        <v>5323</v>
      </c>
      <c r="I324" s="4">
        <f t="shared" si="352"/>
        <v>0</v>
      </c>
      <c r="J324" s="4">
        <f t="shared" si="353"/>
        <v>0</v>
      </c>
      <c r="K324" s="4">
        <f t="shared" si="354"/>
        <v>0</v>
      </c>
      <c r="L324" s="4">
        <f t="shared" si="355"/>
        <v>0</v>
      </c>
      <c r="M324" s="4">
        <f t="shared" si="356"/>
        <v>0</v>
      </c>
      <c r="N324" s="4">
        <f t="shared" si="357"/>
        <v>0</v>
      </c>
      <c r="O324" s="5">
        <f t="shared" si="358"/>
        <v>27</v>
      </c>
      <c r="P324" s="6" t="str">
        <f t="shared" si="359"/>
        <v>30 Days</v>
      </c>
      <c r="Q324" s="7">
        <v>42855</v>
      </c>
      <c r="R324" s="6" t="s">
        <v>2178</v>
      </c>
      <c r="Y324" s="1" t="str">
        <f>"417470408"</f>
        <v>417470408</v>
      </c>
    </row>
    <row r="325" spans="1:25" x14ac:dyDescent="0.2">
      <c r="A325" s="9" t="s">
        <v>1890</v>
      </c>
      <c r="B325" s="10">
        <v>42835</v>
      </c>
      <c r="C325" s="9" t="s">
        <v>1891</v>
      </c>
      <c r="D325" s="9" t="s">
        <v>144</v>
      </c>
      <c r="E325" s="9" t="s">
        <v>2190</v>
      </c>
      <c r="F325" s="9">
        <v>2300000</v>
      </c>
      <c r="G325" s="8">
        <v>5323</v>
      </c>
      <c r="H325" s="4">
        <f t="shared" si="351"/>
        <v>5323</v>
      </c>
      <c r="I325" s="4">
        <f t="shared" si="352"/>
        <v>0</v>
      </c>
      <c r="J325" s="4">
        <f t="shared" si="353"/>
        <v>0</v>
      </c>
      <c r="K325" s="4">
        <f t="shared" si="354"/>
        <v>0</v>
      </c>
      <c r="L325" s="4">
        <f t="shared" si="355"/>
        <v>0</v>
      </c>
      <c r="M325" s="4">
        <f t="shared" si="356"/>
        <v>0</v>
      </c>
      <c r="N325" s="4">
        <f t="shared" si="357"/>
        <v>0</v>
      </c>
      <c r="O325" s="5">
        <f t="shared" si="358"/>
        <v>20</v>
      </c>
      <c r="P325" s="6" t="str">
        <f t="shared" si="359"/>
        <v>30 Days</v>
      </c>
      <c r="Q325" s="7">
        <v>42855</v>
      </c>
      <c r="R325" s="6" t="str">
        <f>VLOOKUP(A325:A4348,[1]BOM_INV_OPERATOR_DETAILS_OUTPUT!$A$2:$D$1233,4,FALSE)</f>
        <v>AI</v>
      </c>
      <c r="Y325" s="1" t="str">
        <f>"4912911500"</f>
        <v>4912911500</v>
      </c>
    </row>
    <row r="326" spans="1:25" x14ac:dyDescent="0.2">
      <c r="A326" s="9" t="s">
        <v>686</v>
      </c>
      <c r="B326" s="10">
        <v>42790</v>
      </c>
      <c r="C326" s="9" t="s">
        <v>687</v>
      </c>
      <c r="D326" s="9" t="s">
        <v>270</v>
      </c>
      <c r="E326" s="9" t="s">
        <v>2190</v>
      </c>
      <c r="F326" s="9">
        <v>0</v>
      </c>
      <c r="G326" s="8">
        <v>5363</v>
      </c>
      <c r="H326" s="4">
        <f t="shared" si="351"/>
        <v>0</v>
      </c>
      <c r="I326" s="4">
        <f t="shared" si="352"/>
        <v>0</v>
      </c>
      <c r="J326" s="4">
        <f t="shared" si="353"/>
        <v>0</v>
      </c>
      <c r="K326" s="4">
        <f t="shared" si="354"/>
        <v>5363</v>
      </c>
      <c r="L326" s="4">
        <f t="shared" si="355"/>
        <v>0</v>
      </c>
      <c r="M326" s="4">
        <f t="shared" si="356"/>
        <v>0</v>
      </c>
      <c r="N326" s="4">
        <f t="shared" si="357"/>
        <v>5363</v>
      </c>
      <c r="O326" s="5">
        <f t="shared" si="358"/>
        <v>65</v>
      </c>
      <c r="P326" s="6" t="str">
        <f t="shared" si="359"/>
        <v>61 To 90 Days</v>
      </c>
      <c r="Q326" s="7">
        <v>42855</v>
      </c>
      <c r="R326" s="6" t="s">
        <v>2178</v>
      </c>
      <c r="Y326" s="1" t="str">
        <f>"4560217773"</f>
        <v>4560217773</v>
      </c>
    </row>
    <row r="327" spans="1:25" x14ac:dyDescent="0.2">
      <c r="A327" s="9" t="s">
        <v>939</v>
      </c>
      <c r="B327" s="10">
        <v>42802</v>
      </c>
      <c r="C327" s="9" t="s">
        <v>940</v>
      </c>
      <c r="D327" s="9" t="s">
        <v>133</v>
      </c>
      <c r="E327" s="9" t="s">
        <v>2190</v>
      </c>
      <c r="F327" s="9">
        <v>20000000</v>
      </c>
      <c r="G327" s="8">
        <v>5369</v>
      </c>
      <c r="H327" s="4">
        <f t="shared" si="351"/>
        <v>0</v>
      </c>
      <c r="I327" s="4">
        <f t="shared" si="352"/>
        <v>0</v>
      </c>
      <c r="J327" s="4">
        <f t="shared" si="353"/>
        <v>5369</v>
      </c>
      <c r="K327" s="4">
        <f t="shared" si="354"/>
        <v>0</v>
      </c>
      <c r="L327" s="4">
        <f t="shared" si="355"/>
        <v>0</v>
      </c>
      <c r="M327" s="4">
        <f t="shared" si="356"/>
        <v>0</v>
      </c>
      <c r="N327" s="4">
        <f t="shared" si="357"/>
        <v>0</v>
      </c>
      <c r="O327" s="5">
        <f t="shared" si="358"/>
        <v>53</v>
      </c>
      <c r="P327" s="6" t="str">
        <f t="shared" si="359"/>
        <v>46 To 60 Days</v>
      </c>
      <c r="Q327" s="7">
        <v>42855</v>
      </c>
      <c r="R327" s="6" t="s">
        <v>2178</v>
      </c>
      <c r="V327" s="1" t="s">
        <v>13</v>
      </c>
      <c r="W327" s="2">
        <v>42802</v>
      </c>
      <c r="X327" s="1" t="s">
        <v>14</v>
      </c>
      <c r="Y327" s="1" t="str">
        <f>"4750387565"</f>
        <v>4750387565</v>
      </c>
    </row>
    <row r="328" spans="1:25" x14ac:dyDescent="0.2">
      <c r="A328" s="9" t="s">
        <v>1710</v>
      </c>
      <c r="B328" s="10">
        <v>42830</v>
      </c>
      <c r="C328" s="9" t="s">
        <v>1711</v>
      </c>
      <c r="D328" s="9" t="s">
        <v>144</v>
      </c>
      <c r="E328" s="9" t="s">
        <v>2190</v>
      </c>
      <c r="F328" s="9">
        <v>2300000</v>
      </c>
      <c r="G328" s="8">
        <v>5374</v>
      </c>
      <c r="H328" s="4">
        <f t="shared" si="351"/>
        <v>5374</v>
      </c>
      <c r="I328" s="4">
        <f t="shared" si="352"/>
        <v>0</v>
      </c>
      <c r="J328" s="4">
        <f t="shared" si="353"/>
        <v>0</v>
      </c>
      <c r="K328" s="4">
        <f t="shared" si="354"/>
        <v>0</v>
      </c>
      <c r="L328" s="4">
        <f t="shared" si="355"/>
        <v>0</v>
      </c>
      <c r="M328" s="4">
        <f t="shared" si="356"/>
        <v>0</v>
      </c>
      <c r="N328" s="4">
        <f t="shared" si="357"/>
        <v>0</v>
      </c>
      <c r="O328" s="5">
        <f t="shared" si="358"/>
        <v>25</v>
      </c>
      <c r="P328" s="6" t="str">
        <f t="shared" si="359"/>
        <v>30 Days</v>
      </c>
      <c r="Q328" s="7">
        <v>42855</v>
      </c>
      <c r="R328" s="6" t="s">
        <v>2178</v>
      </c>
      <c r="Y328" s="1" t="str">
        <f>"4912899182"</f>
        <v>4912899182</v>
      </c>
    </row>
    <row r="329" spans="1:25" x14ac:dyDescent="0.2">
      <c r="A329" s="9" t="s">
        <v>904</v>
      </c>
      <c r="B329" s="10">
        <v>42798</v>
      </c>
      <c r="C329" s="9" t="s">
        <v>905</v>
      </c>
      <c r="D329" s="9" t="s">
        <v>133</v>
      </c>
      <c r="E329" s="9" t="s">
        <v>2190</v>
      </c>
      <c r="F329" s="9">
        <v>20000000</v>
      </c>
      <c r="G329" s="8">
        <v>5375</v>
      </c>
      <c r="H329" s="4">
        <f t="shared" si="351"/>
        <v>0</v>
      </c>
      <c r="I329" s="4">
        <f t="shared" si="352"/>
        <v>0</v>
      </c>
      <c r="J329" s="4">
        <f t="shared" si="353"/>
        <v>5375</v>
      </c>
      <c r="K329" s="4">
        <f t="shared" si="354"/>
        <v>0</v>
      </c>
      <c r="L329" s="4">
        <f t="shared" si="355"/>
        <v>0</v>
      </c>
      <c r="M329" s="4">
        <f t="shared" si="356"/>
        <v>0</v>
      </c>
      <c r="N329" s="4">
        <f t="shared" si="357"/>
        <v>0</v>
      </c>
      <c r="O329" s="5">
        <f t="shared" si="358"/>
        <v>57</v>
      </c>
      <c r="P329" s="6" t="str">
        <f t="shared" si="359"/>
        <v>46 To 60 Days</v>
      </c>
      <c r="Q329" s="7">
        <v>42855</v>
      </c>
      <c r="R329" s="6" t="s">
        <v>2178</v>
      </c>
      <c r="V329" s="1" t="s">
        <v>13</v>
      </c>
      <c r="W329" s="2">
        <v>42800</v>
      </c>
      <c r="X329" s="1" t="s">
        <v>14</v>
      </c>
      <c r="Y329" s="1" t="str">
        <f>"4750387490"</f>
        <v>4750387490</v>
      </c>
    </row>
    <row r="330" spans="1:25" x14ac:dyDescent="0.2">
      <c r="A330" s="9" t="s">
        <v>923</v>
      </c>
      <c r="B330" s="10">
        <v>42801</v>
      </c>
      <c r="C330" s="9" t="s">
        <v>924</v>
      </c>
      <c r="D330" s="9" t="s">
        <v>175</v>
      </c>
      <c r="E330" s="9" t="s">
        <v>2190</v>
      </c>
      <c r="F330" s="9">
        <v>1500000</v>
      </c>
      <c r="G330" s="8">
        <v>5389</v>
      </c>
      <c r="H330" s="4">
        <f t="shared" ref="H330:H352" si="360">IF(O330&lt;=30,G330,0)</f>
        <v>0</v>
      </c>
      <c r="I330" s="4">
        <f t="shared" ref="I330:I352" si="361">IF(AND(O330&gt;30,O330&lt;=45),G330,0)</f>
        <v>0</v>
      </c>
      <c r="J330" s="4">
        <f t="shared" ref="J330:J352" si="362">IF(AND(O330&gt;45,O330&lt;=60),G330,0)</f>
        <v>5389</v>
      </c>
      <c r="K330" s="4">
        <f t="shared" ref="K330:K352" si="363">IF(AND(O330&gt;60,O330&lt;=90),G330,0)</f>
        <v>0</v>
      </c>
      <c r="L330" s="4">
        <f t="shared" ref="L330:L352" si="364">IF(AND(O330&gt;90,O330&lt;=120),G330,0)</f>
        <v>0</v>
      </c>
      <c r="M330" s="4">
        <f t="shared" ref="M330:M352" si="365">IF(O330&gt;120,G330,0)</f>
        <v>0</v>
      </c>
      <c r="N330" s="4">
        <f t="shared" ref="N330:N352" si="366">IF(O330&gt;60,G330,0)</f>
        <v>0</v>
      </c>
      <c r="O330" s="5">
        <f t="shared" ref="O330:O352" si="367">Q330-B330</f>
        <v>54</v>
      </c>
      <c r="P330" s="6" t="str">
        <f t="shared" ref="P330:P352" si="368">IF(AND(O330&lt;=30),"30 Days",IF(AND(O330&gt;30,O330&lt;=45),"31 TO 45 Days",IF(AND(O330&gt;45,O330&lt;=60),"46 To 60 Days",IF(AND(O330&gt;60,O330&lt;=90),"61 To 90 Days",IF(AND(O330&gt;90,O330&lt;=120),"91 To 120 Days",IF(AND(O330&gt;120),"Plus120Days",))))))</f>
        <v>46 To 60 Days</v>
      </c>
      <c r="Q330" s="7">
        <v>42855</v>
      </c>
      <c r="R330" s="6" t="s">
        <v>2178</v>
      </c>
      <c r="Y330" s="1" t="str">
        <f>"422803412"</f>
        <v>422803412</v>
      </c>
    </row>
    <row r="331" spans="1:25" x14ac:dyDescent="0.2">
      <c r="A331" s="9" t="s">
        <v>1864</v>
      </c>
      <c r="B331" s="10">
        <v>42835</v>
      </c>
      <c r="C331" s="9" t="s">
        <v>1865</v>
      </c>
      <c r="D331" s="9" t="s">
        <v>144</v>
      </c>
      <c r="E331" s="9" t="s">
        <v>2190</v>
      </c>
      <c r="F331" s="9">
        <v>2300000</v>
      </c>
      <c r="G331" s="8">
        <v>5395</v>
      </c>
      <c r="H331" s="4">
        <f t="shared" si="360"/>
        <v>5395</v>
      </c>
      <c r="I331" s="4">
        <f t="shared" si="361"/>
        <v>0</v>
      </c>
      <c r="J331" s="4">
        <f t="shared" si="362"/>
        <v>0</v>
      </c>
      <c r="K331" s="4">
        <f t="shared" si="363"/>
        <v>0</v>
      </c>
      <c r="L331" s="4">
        <f t="shared" si="364"/>
        <v>0</v>
      </c>
      <c r="M331" s="4">
        <f t="shared" si="365"/>
        <v>0</v>
      </c>
      <c r="N331" s="4">
        <f t="shared" si="366"/>
        <v>0</v>
      </c>
      <c r="O331" s="5">
        <f t="shared" si="367"/>
        <v>20</v>
      </c>
      <c r="P331" s="6" t="str">
        <f t="shared" si="368"/>
        <v>30 Days</v>
      </c>
      <c r="Q331" s="7">
        <v>42855</v>
      </c>
      <c r="R331" s="6" t="str">
        <f>VLOOKUP(A331:A4369,[1]BOM_INV_OPERATOR_DETAILS_OUTPUT!$A$2:$D$1233,4,FALSE)</f>
        <v>AI</v>
      </c>
      <c r="Y331" s="1" t="str">
        <f>"4912911502"</f>
        <v>4912911502</v>
      </c>
    </row>
    <row r="332" spans="1:25" x14ac:dyDescent="0.2">
      <c r="A332" s="9" t="s">
        <v>373</v>
      </c>
      <c r="B332" s="10">
        <v>42758</v>
      </c>
      <c r="C332" s="9" t="s">
        <v>374</v>
      </c>
      <c r="D332" s="9" t="s">
        <v>270</v>
      </c>
      <c r="E332" s="9" t="s">
        <v>2190</v>
      </c>
      <c r="F332" s="9">
        <v>0</v>
      </c>
      <c r="G332" s="8">
        <v>5416</v>
      </c>
      <c r="H332" s="4">
        <f t="shared" si="360"/>
        <v>0</v>
      </c>
      <c r="I332" s="4">
        <f t="shared" si="361"/>
        <v>0</v>
      </c>
      <c r="J332" s="4">
        <f t="shared" si="362"/>
        <v>0</v>
      </c>
      <c r="K332" s="4">
        <f t="shared" si="363"/>
        <v>0</v>
      </c>
      <c r="L332" s="4">
        <f t="shared" si="364"/>
        <v>5416</v>
      </c>
      <c r="M332" s="4">
        <f t="shared" si="365"/>
        <v>0</v>
      </c>
      <c r="N332" s="4">
        <f t="shared" si="366"/>
        <v>5416</v>
      </c>
      <c r="O332" s="5">
        <f t="shared" si="367"/>
        <v>97</v>
      </c>
      <c r="P332" s="6" t="str">
        <f t="shared" si="368"/>
        <v>91 To 120 Days</v>
      </c>
      <c r="Q332" s="7">
        <v>42855</v>
      </c>
      <c r="R332" s="6" t="s">
        <v>2178</v>
      </c>
      <c r="Y332" s="1" t="str">
        <f>"4560216624"</f>
        <v>4560216624</v>
      </c>
    </row>
    <row r="333" spans="1:25" x14ac:dyDescent="0.2">
      <c r="A333" s="9" t="s">
        <v>863</v>
      </c>
      <c r="B333" s="10">
        <v>42796</v>
      </c>
      <c r="C333" s="9" t="s">
        <v>864</v>
      </c>
      <c r="D333" s="9" t="s">
        <v>20</v>
      </c>
      <c r="E333" s="9" t="s">
        <v>2190</v>
      </c>
      <c r="F333" s="9">
        <v>1000000</v>
      </c>
      <c r="G333" s="8">
        <v>5422</v>
      </c>
      <c r="H333" s="4">
        <f t="shared" si="360"/>
        <v>0</v>
      </c>
      <c r="I333" s="4">
        <f t="shared" si="361"/>
        <v>0</v>
      </c>
      <c r="J333" s="4">
        <f t="shared" si="362"/>
        <v>5422</v>
      </c>
      <c r="K333" s="4">
        <f t="shared" si="363"/>
        <v>0</v>
      </c>
      <c r="L333" s="4">
        <f t="shared" si="364"/>
        <v>0</v>
      </c>
      <c r="M333" s="4">
        <f t="shared" si="365"/>
        <v>0</v>
      </c>
      <c r="N333" s="4">
        <f t="shared" si="366"/>
        <v>0</v>
      </c>
      <c r="O333" s="5">
        <f t="shared" si="367"/>
        <v>59</v>
      </c>
      <c r="P333" s="6" t="str">
        <f t="shared" si="368"/>
        <v>46 To 60 Days</v>
      </c>
      <c r="Q333" s="7">
        <v>42855</v>
      </c>
      <c r="R333" s="6" t="s">
        <v>2178</v>
      </c>
      <c r="Y333" s="1" t="str">
        <f>"4041693408"</f>
        <v>4041693408</v>
      </c>
    </row>
    <row r="334" spans="1:25" x14ac:dyDescent="0.2">
      <c r="A334" s="9" t="s">
        <v>1467</v>
      </c>
      <c r="B334" s="10">
        <v>42824</v>
      </c>
      <c r="C334" s="9" t="s">
        <v>1468</v>
      </c>
      <c r="D334" s="9" t="s">
        <v>270</v>
      </c>
      <c r="E334" s="9" t="s">
        <v>2190</v>
      </c>
      <c r="F334" s="9">
        <v>0</v>
      </c>
      <c r="G334" s="8">
        <v>5429</v>
      </c>
      <c r="H334" s="4">
        <f t="shared" si="360"/>
        <v>0</v>
      </c>
      <c r="I334" s="4">
        <f t="shared" si="361"/>
        <v>5429</v>
      </c>
      <c r="J334" s="4">
        <f t="shared" si="362"/>
        <v>0</v>
      </c>
      <c r="K334" s="4">
        <f t="shared" si="363"/>
        <v>0</v>
      </c>
      <c r="L334" s="4">
        <f t="shared" si="364"/>
        <v>0</v>
      </c>
      <c r="M334" s="4">
        <f t="shared" si="365"/>
        <v>0</v>
      </c>
      <c r="N334" s="4">
        <f t="shared" si="366"/>
        <v>0</v>
      </c>
      <c r="O334" s="5">
        <f t="shared" si="367"/>
        <v>31</v>
      </c>
      <c r="P334" s="6" t="str">
        <f t="shared" si="368"/>
        <v>31 TO 45 Days</v>
      </c>
      <c r="Q334" s="7">
        <v>42855</v>
      </c>
      <c r="R334" s="6" t="s">
        <v>2178</v>
      </c>
      <c r="Y334" s="1" t="str">
        <f>"4400189921"</f>
        <v>4400189921</v>
      </c>
    </row>
    <row r="335" spans="1:25" x14ac:dyDescent="0.2">
      <c r="A335" s="9" t="s">
        <v>710</v>
      </c>
      <c r="B335" s="10">
        <v>42791</v>
      </c>
      <c r="C335" s="9" t="s">
        <v>711</v>
      </c>
      <c r="D335" s="9" t="s">
        <v>133</v>
      </c>
      <c r="E335" s="9" t="s">
        <v>2190</v>
      </c>
      <c r="F335" s="9">
        <v>20000000</v>
      </c>
      <c r="G335" s="8">
        <v>5430</v>
      </c>
      <c r="H335" s="4">
        <f t="shared" si="360"/>
        <v>0</v>
      </c>
      <c r="I335" s="4">
        <f t="shared" si="361"/>
        <v>0</v>
      </c>
      <c r="J335" s="4">
        <f t="shared" si="362"/>
        <v>0</v>
      </c>
      <c r="K335" s="4">
        <f t="shared" si="363"/>
        <v>5430</v>
      </c>
      <c r="L335" s="4">
        <f t="shared" si="364"/>
        <v>0</v>
      </c>
      <c r="M335" s="4">
        <f t="shared" si="365"/>
        <v>0</v>
      </c>
      <c r="N335" s="4">
        <f t="shared" si="366"/>
        <v>5430</v>
      </c>
      <c r="O335" s="5">
        <f t="shared" si="367"/>
        <v>64</v>
      </c>
      <c r="P335" s="6" t="str">
        <f t="shared" si="368"/>
        <v>61 To 90 Days</v>
      </c>
      <c r="Q335" s="7">
        <v>42855</v>
      </c>
      <c r="R335" s="6" t="s">
        <v>2178</v>
      </c>
      <c r="V335" s="1" t="s">
        <v>13</v>
      </c>
      <c r="W335" s="2">
        <v>42796</v>
      </c>
      <c r="X335" s="1" t="s">
        <v>14</v>
      </c>
      <c r="Y335" s="1" t="str">
        <f>"4750386589"</f>
        <v>4750386589</v>
      </c>
    </row>
    <row r="336" spans="1:25" x14ac:dyDescent="0.2">
      <c r="A336" s="9" t="s">
        <v>723</v>
      </c>
      <c r="B336" s="10">
        <v>42791</v>
      </c>
      <c r="C336" s="9" t="s">
        <v>724</v>
      </c>
      <c r="D336" s="9" t="s">
        <v>133</v>
      </c>
      <c r="E336" s="9" t="s">
        <v>2190</v>
      </c>
      <c r="F336" s="9">
        <v>20000000</v>
      </c>
      <c r="G336" s="8">
        <v>5430</v>
      </c>
      <c r="H336" s="4">
        <f t="shared" si="360"/>
        <v>0</v>
      </c>
      <c r="I336" s="4">
        <f t="shared" si="361"/>
        <v>0</v>
      </c>
      <c r="J336" s="4">
        <f t="shared" si="362"/>
        <v>0</v>
      </c>
      <c r="K336" s="4">
        <f t="shared" si="363"/>
        <v>5430</v>
      </c>
      <c r="L336" s="4">
        <f t="shared" si="364"/>
        <v>0</v>
      </c>
      <c r="M336" s="4">
        <f t="shared" si="365"/>
        <v>0</v>
      </c>
      <c r="N336" s="4">
        <f t="shared" si="366"/>
        <v>5430</v>
      </c>
      <c r="O336" s="5">
        <f t="shared" si="367"/>
        <v>64</v>
      </c>
      <c r="P336" s="6" t="str">
        <f t="shared" si="368"/>
        <v>61 To 90 Days</v>
      </c>
      <c r="Q336" s="7">
        <v>42855</v>
      </c>
      <c r="R336" s="6" t="s">
        <v>2178</v>
      </c>
      <c r="V336" s="1" t="s">
        <v>13</v>
      </c>
      <c r="W336" s="2">
        <v>42796</v>
      </c>
      <c r="X336" s="1" t="s">
        <v>14</v>
      </c>
      <c r="Y336" s="1" t="str">
        <f>"4750386669"</f>
        <v>4750386669</v>
      </c>
    </row>
    <row r="337" spans="1:25" x14ac:dyDescent="0.2">
      <c r="A337" s="9" t="s">
        <v>1868</v>
      </c>
      <c r="B337" s="10">
        <v>42835</v>
      </c>
      <c r="C337" s="9" t="s">
        <v>1869</v>
      </c>
      <c r="D337" s="9" t="s">
        <v>144</v>
      </c>
      <c r="E337" s="9" t="s">
        <v>2190</v>
      </c>
      <c r="F337" s="9">
        <v>2300000</v>
      </c>
      <c r="G337" s="8">
        <v>5430</v>
      </c>
      <c r="H337" s="4">
        <f t="shared" si="360"/>
        <v>5430</v>
      </c>
      <c r="I337" s="4">
        <f t="shared" si="361"/>
        <v>0</v>
      </c>
      <c r="J337" s="4">
        <f t="shared" si="362"/>
        <v>0</v>
      </c>
      <c r="K337" s="4">
        <f t="shared" si="363"/>
        <v>0</v>
      </c>
      <c r="L337" s="4">
        <f t="shared" si="364"/>
        <v>0</v>
      </c>
      <c r="M337" s="4">
        <f t="shared" si="365"/>
        <v>0</v>
      </c>
      <c r="N337" s="4">
        <f t="shared" si="366"/>
        <v>0</v>
      </c>
      <c r="O337" s="5">
        <f t="shared" si="367"/>
        <v>20</v>
      </c>
      <c r="P337" s="6" t="str">
        <f t="shared" si="368"/>
        <v>30 Days</v>
      </c>
      <c r="Q337" s="7">
        <v>42855</v>
      </c>
      <c r="R337" s="6" t="str">
        <f>VLOOKUP(A337:A4390,[1]BOM_INV_OPERATOR_DETAILS_OUTPUT!$A$2:$D$1233,4,FALSE)</f>
        <v>AI</v>
      </c>
      <c r="Y337" s="1" t="str">
        <f>"4912912709"</f>
        <v>4912912709</v>
      </c>
    </row>
    <row r="338" spans="1:25" x14ac:dyDescent="0.2">
      <c r="A338" s="9" t="s">
        <v>941</v>
      </c>
      <c r="B338" s="10">
        <v>42802</v>
      </c>
      <c r="C338" s="9" t="s">
        <v>942</v>
      </c>
      <c r="D338" s="9" t="s">
        <v>133</v>
      </c>
      <c r="E338" s="9" t="s">
        <v>2190</v>
      </c>
      <c r="F338" s="9">
        <v>20000000</v>
      </c>
      <c r="G338" s="8">
        <v>5446</v>
      </c>
      <c r="H338" s="4">
        <f t="shared" si="360"/>
        <v>0</v>
      </c>
      <c r="I338" s="4">
        <f t="shared" si="361"/>
        <v>0</v>
      </c>
      <c r="J338" s="4">
        <f t="shared" si="362"/>
        <v>5446</v>
      </c>
      <c r="K338" s="4">
        <f t="shared" si="363"/>
        <v>0</v>
      </c>
      <c r="L338" s="4">
        <f t="shared" si="364"/>
        <v>0</v>
      </c>
      <c r="M338" s="4">
        <f t="shared" si="365"/>
        <v>0</v>
      </c>
      <c r="N338" s="4">
        <f t="shared" si="366"/>
        <v>0</v>
      </c>
      <c r="O338" s="5">
        <f t="shared" si="367"/>
        <v>53</v>
      </c>
      <c r="P338" s="6" t="str">
        <f t="shared" si="368"/>
        <v>46 To 60 Days</v>
      </c>
      <c r="Q338" s="7">
        <v>42855</v>
      </c>
      <c r="R338" s="6" t="s">
        <v>2178</v>
      </c>
      <c r="V338" s="1" t="s">
        <v>13</v>
      </c>
      <c r="W338" s="2">
        <v>42802</v>
      </c>
      <c r="X338" s="1" t="s">
        <v>14</v>
      </c>
      <c r="Y338" s="1" t="str">
        <f>"4750387708"</f>
        <v>4750387708</v>
      </c>
    </row>
    <row r="339" spans="1:25" x14ac:dyDescent="0.2">
      <c r="A339" s="9" t="s">
        <v>1904</v>
      </c>
      <c r="B339" s="10">
        <v>42835</v>
      </c>
      <c r="C339" s="9" t="s">
        <v>1905</v>
      </c>
      <c r="D339" s="9" t="s">
        <v>144</v>
      </c>
      <c r="E339" s="9" t="s">
        <v>2190</v>
      </c>
      <c r="F339" s="9">
        <v>2300000</v>
      </c>
      <c r="G339" s="8">
        <v>5453</v>
      </c>
      <c r="H339" s="4">
        <f t="shared" si="360"/>
        <v>5453</v>
      </c>
      <c r="I339" s="4">
        <f t="shared" si="361"/>
        <v>0</v>
      </c>
      <c r="J339" s="4">
        <f t="shared" si="362"/>
        <v>0</v>
      </c>
      <c r="K339" s="4">
        <f t="shared" si="363"/>
        <v>0</v>
      </c>
      <c r="L339" s="4">
        <f t="shared" si="364"/>
        <v>0</v>
      </c>
      <c r="M339" s="4">
        <f t="shared" si="365"/>
        <v>0</v>
      </c>
      <c r="N339" s="4">
        <f t="shared" si="366"/>
        <v>0</v>
      </c>
      <c r="O339" s="5">
        <f t="shared" si="367"/>
        <v>20</v>
      </c>
      <c r="P339" s="6" t="str">
        <f t="shared" si="368"/>
        <v>30 Days</v>
      </c>
      <c r="Q339" s="7">
        <v>42855</v>
      </c>
      <c r="R339" s="6" t="str">
        <f>VLOOKUP(A339:A4395,[1]BOM_INV_OPERATOR_DETAILS_OUTPUT!$A$2:$D$1233,4,FALSE)</f>
        <v>AI</v>
      </c>
      <c r="Y339" s="1" t="str">
        <f>"4912914341"</f>
        <v>4912914341</v>
      </c>
    </row>
    <row r="340" spans="1:25" x14ac:dyDescent="0.2">
      <c r="A340" s="9" t="s">
        <v>719</v>
      </c>
      <c r="B340" s="10">
        <v>42791</v>
      </c>
      <c r="C340" s="9" t="s">
        <v>720</v>
      </c>
      <c r="D340" s="9" t="s">
        <v>133</v>
      </c>
      <c r="E340" s="9" t="s">
        <v>2190</v>
      </c>
      <c r="F340" s="9">
        <v>20000000</v>
      </c>
      <c r="G340" s="8">
        <v>5465</v>
      </c>
      <c r="H340" s="4">
        <f t="shared" si="360"/>
        <v>0</v>
      </c>
      <c r="I340" s="4">
        <f t="shared" si="361"/>
        <v>0</v>
      </c>
      <c r="J340" s="4">
        <f t="shared" si="362"/>
        <v>0</v>
      </c>
      <c r="K340" s="4">
        <f t="shared" si="363"/>
        <v>5465</v>
      </c>
      <c r="L340" s="4">
        <f t="shared" si="364"/>
        <v>0</v>
      </c>
      <c r="M340" s="4">
        <f t="shared" si="365"/>
        <v>0</v>
      </c>
      <c r="N340" s="4">
        <f t="shared" si="366"/>
        <v>5465</v>
      </c>
      <c r="O340" s="5">
        <f t="shared" si="367"/>
        <v>64</v>
      </c>
      <c r="P340" s="6" t="str">
        <f t="shared" si="368"/>
        <v>61 To 90 Days</v>
      </c>
      <c r="Q340" s="7">
        <v>42855</v>
      </c>
      <c r="R340" s="6" t="s">
        <v>2178</v>
      </c>
      <c r="V340" s="1" t="s">
        <v>13</v>
      </c>
      <c r="W340" s="2">
        <v>42796</v>
      </c>
      <c r="X340" s="1" t="s">
        <v>14</v>
      </c>
      <c r="Y340" s="1" t="str">
        <f>"4750386637"</f>
        <v>4750386637</v>
      </c>
    </row>
    <row r="341" spans="1:25" x14ac:dyDescent="0.2">
      <c r="A341" s="9" t="s">
        <v>495</v>
      </c>
      <c r="B341" s="10">
        <v>42774</v>
      </c>
      <c r="C341" s="9" t="s">
        <v>496</v>
      </c>
      <c r="D341" s="9" t="s">
        <v>133</v>
      </c>
      <c r="E341" s="9" t="s">
        <v>2190</v>
      </c>
      <c r="F341" s="9">
        <v>20000000</v>
      </c>
      <c r="G341" s="8">
        <v>5477</v>
      </c>
      <c r="H341" s="4">
        <f t="shared" si="360"/>
        <v>0</v>
      </c>
      <c r="I341" s="4">
        <f t="shared" si="361"/>
        <v>0</v>
      </c>
      <c r="J341" s="4">
        <f t="shared" si="362"/>
        <v>0</v>
      </c>
      <c r="K341" s="4">
        <f t="shared" si="363"/>
        <v>5477</v>
      </c>
      <c r="L341" s="4">
        <f t="shared" si="364"/>
        <v>0</v>
      </c>
      <c r="M341" s="4">
        <f t="shared" si="365"/>
        <v>0</v>
      </c>
      <c r="N341" s="4">
        <f t="shared" si="366"/>
        <v>5477</v>
      </c>
      <c r="O341" s="5">
        <f t="shared" si="367"/>
        <v>81</v>
      </c>
      <c r="P341" s="6" t="str">
        <f t="shared" si="368"/>
        <v>61 To 90 Days</v>
      </c>
      <c r="Q341" s="7">
        <v>42855</v>
      </c>
      <c r="R341" s="6" t="s">
        <v>2178</v>
      </c>
      <c r="V341" s="1" t="s">
        <v>13</v>
      </c>
      <c r="W341" s="2">
        <v>42774</v>
      </c>
      <c r="X341" s="1" t="s">
        <v>14</v>
      </c>
      <c r="Y341" s="1" t="str">
        <f>"4750385777"</f>
        <v>4750385777</v>
      </c>
    </row>
    <row r="342" spans="1:25" x14ac:dyDescent="0.2">
      <c r="A342" s="9" t="s">
        <v>493</v>
      </c>
      <c r="B342" s="10">
        <v>42774</v>
      </c>
      <c r="C342" s="9" t="s">
        <v>494</v>
      </c>
      <c r="D342" s="9" t="s">
        <v>133</v>
      </c>
      <c r="E342" s="9" t="s">
        <v>2190</v>
      </c>
      <c r="F342" s="9">
        <v>20000000</v>
      </c>
      <c r="G342" s="8">
        <v>5481</v>
      </c>
      <c r="H342" s="4">
        <f t="shared" si="360"/>
        <v>0</v>
      </c>
      <c r="I342" s="4">
        <f t="shared" si="361"/>
        <v>0</v>
      </c>
      <c r="J342" s="4">
        <f t="shared" si="362"/>
        <v>0</v>
      </c>
      <c r="K342" s="4">
        <f t="shared" si="363"/>
        <v>5481</v>
      </c>
      <c r="L342" s="4">
        <f t="shared" si="364"/>
        <v>0</v>
      </c>
      <c r="M342" s="4">
        <f t="shared" si="365"/>
        <v>0</v>
      </c>
      <c r="N342" s="4">
        <f t="shared" si="366"/>
        <v>5481</v>
      </c>
      <c r="O342" s="5">
        <f t="shared" si="367"/>
        <v>81</v>
      </c>
      <c r="P342" s="6" t="str">
        <f t="shared" si="368"/>
        <v>61 To 90 Days</v>
      </c>
      <c r="Q342" s="7">
        <v>42855</v>
      </c>
      <c r="R342" s="6" t="s">
        <v>2178</v>
      </c>
      <c r="V342" s="1" t="s">
        <v>13</v>
      </c>
      <c r="W342" s="2">
        <v>42774</v>
      </c>
      <c r="X342" s="1" t="s">
        <v>14</v>
      </c>
      <c r="Y342" s="1" t="str">
        <f>"4750385634"</f>
        <v>4750385634</v>
      </c>
    </row>
    <row r="343" spans="1:25" x14ac:dyDescent="0.2">
      <c r="A343" s="9" t="s">
        <v>1834</v>
      </c>
      <c r="B343" s="10">
        <v>42835</v>
      </c>
      <c r="C343" s="9" t="s">
        <v>1835</v>
      </c>
      <c r="D343" s="9" t="s">
        <v>148</v>
      </c>
      <c r="E343" s="9" t="s">
        <v>2190</v>
      </c>
      <c r="F343" s="9">
        <v>500000</v>
      </c>
      <c r="G343" s="8">
        <v>5489</v>
      </c>
      <c r="H343" s="4">
        <f t="shared" si="360"/>
        <v>5489</v>
      </c>
      <c r="I343" s="4">
        <f t="shared" si="361"/>
        <v>0</v>
      </c>
      <c r="J343" s="4">
        <f t="shared" si="362"/>
        <v>0</v>
      </c>
      <c r="K343" s="4">
        <f t="shared" si="363"/>
        <v>0</v>
      </c>
      <c r="L343" s="4">
        <f t="shared" si="364"/>
        <v>0</v>
      </c>
      <c r="M343" s="4">
        <f t="shared" si="365"/>
        <v>0</v>
      </c>
      <c r="N343" s="4">
        <f t="shared" si="366"/>
        <v>0</v>
      </c>
      <c r="O343" s="5">
        <f t="shared" si="367"/>
        <v>20</v>
      </c>
      <c r="P343" s="6" t="str">
        <f t="shared" si="368"/>
        <v>30 Days</v>
      </c>
      <c r="Q343" s="7">
        <v>42855</v>
      </c>
      <c r="R343" s="6" t="s">
        <v>2178</v>
      </c>
      <c r="Y343" s="1" t="str">
        <f>"4540131666"</f>
        <v>4540131666</v>
      </c>
    </row>
    <row r="344" spans="1:25" x14ac:dyDescent="0.2">
      <c r="A344" s="9" t="s">
        <v>619</v>
      </c>
      <c r="B344" s="10">
        <v>42784</v>
      </c>
      <c r="C344" s="9" t="s">
        <v>620</v>
      </c>
      <c r="D344" s="9" t="s">
        <v>148</v>
      </c>
      <c r="E344" s="9" t="s">
        <v>2190</v>
      </c>
      <c r="F344" s="9">
        <v>500000</v>
      </c>
      <c r="G344" s="8">
        <v>5493</v>
      </c>
      <c r="H344" s="4">
        <f t="shared" si="360"/>
        <v>0</v>
      </c>
      <c r="I344" s="4">
        <f t="shared" si="361"/>
        <v>0</v>
      </c>
      <c r="J344" s="4">
        <f t="shared" si="362"/>
        <v>0</v>
      </c>
      <c r="K344" s="4">
        <f t="shared" si="363"/>
        <v>5493</v>
      </c>
      <c r="L344" s="4">
        <f t="shared" si="364"/>
        <v>0</v>
      </c>
      <c r="M344" s="4">
        <f t="shared" si="365"/>
        <v>0</v>
      </c>
      <c r="N344" s="4">
        <f t="shared" si="366"/>
        <v>5493</v>
      </c>
      <c r="O344" s="5">
        <f t="shared" si="367"/>
        <v>71</v>
      </c>
      <c r="P344" s="6" t="str">
        <f t="shared" si="368"/>
        <v>61 To 90 Days</v>
      </c>
      <c r="Q344" s="7">
        <v>42855</v>
      </c>
      <c r="R344" s="6" t="s">
        <v>2178</v>
      </c>
      <c r="Y344" s="1" t="str">
        <f>"4750384381"</f>
        <v>4750384381</v>
      </c>
    </row>
    <row r="345" spans="1:25" x14ac:dyDescent="0.2">
      <c r="A345" s="9" t="s">
        <v>714</v>
      </c>
      <c r="B345" s="10">
        <v>42791</v>
      </c>
      <c r="C345" s="9" t="s">
        <v>715</v>
      </c>
      <c r="D345" s="9" t="s">
        <v>133</v>
      </c>
      <c r="E345" s="9" t="s">
        <v>2190</v>
      </c>
      <c r="F345" s="9">
        <v>20000000</v>
      </c>
      <c r="G345" s="8">
        <v>5510</v>
      </c>
      <c r="H345" s="4">
        <f t="shared" si="360"/>
        <v>0</v>
      </c>
      <c r="I345" s="4">
        <f t="shared" si="361"/>
        <v>0</v>
      </c>
      <c r="J345" s="4">
        <f t="shared" si="362"/>
        <v>0</v>
      </c>
      <c r="K345" s="4">
        <f t="shared" si="363"/>
        <v>5510</v>
      </c>
      <c r="L345" s="4">
        <f t="shared" si="364"/>
        <v>0</v>
      </c>
      <c r="M345" s="4">
        <f t="shared" si="365"/>
        <v>0</v>
      </c>
      <c r="N345" s="4">
        <f t="shared" si="366"/>
        <v>5510</v>
      </c>
      <c r="O345" s="5">
        <f t="shared" si="367"/>
        <v>64</v>
      </c>
      <c r="P345" s="6" t="str">
        <f t="shared" si="368"/>
        <v>61 To 90 Days</v>
      </c>
      <c r="Q345" s="7">
        <v>42855</v>
      </c>
      <c r="R345" s="6" t="s">
        <v>2178</v>
      </c>
      <c r="V345" s="1" t="s">
        <v>13</v>
      </c>
      <c r="W345" s="2">
        <v>42796</v>
      </c>
      <c r="X345" s="1" t="s">
        <v>14</v>
      </c>
      <c r="Y345" s="1" t="str">
        <f>"4750386634"</f>
        <v>4750386634</v>
      </c>
    </row>
    <row r="346" spans="1:25" x14ac:dyDescent="0.2">
      <c r="A346" s="9" t="s">
        <v>712</v>
      </c>
      <c r="B346" s="10">
        <v>42791</v>
      </c>
      <c r="C346" s="9" t="s">
        <v>713</v>
      </c>
      <c r="D346" s="9" t="s">
        <v>133</v>
      </c>
      <c r="E346" s="9" t="s">
        <v>2190</v>
      </c>
      <c r="F346" s="9">
        <v>20000000</v>
      </c>
      <c r="G346" s="8">
        <v>5534</v>
      </c>
      <c r="H346" s="4">
        <f t="shared" si="360"/>
        <v>0</v>
      </c>
      <c r="I346" s="4">
        <f t="shared" si="361"/>
        <v>0</v>
      </c>
      <c r="J346" s="4">
        <f t="shared" si="362"/>
        <v>0</v>
      </c>
      <c r="K346" s="4">
        <f t="shared" si="363"/>
        <v>5534</v>
      </c>
      <c r="L346" s="4">
        <f t="shared" si="364"/>
        <v>0</v>
      </c>
      <c r="M346" s="4">
        <f t="shared" si="365"/>
        <v>0</v>
      </c>
      <c r="N346" s="4">
        <f t="shared" si="366"/>
        <v>5534</v>
      </c>
      <c r="O346" s="5">
        <f t="shared" si="367"/>
        <v>64</v>
      </c>
      <c r="P346" s="6" t="str">
        <f t="shared" si="368"/>
        <v>61 To 90 Days</v>
      </c>
      <c r="Q346" s="7">
        <v>42855</v>
      </c>
      <c r="R346" s="6" t="s">
        <v>2178</v>
      </c>
      <c r="V346" s="1" t="s">
        <v>13</v>
      </c>
      <c r="W346" s="2">
        <v>42796</v>
      </c>
      <c r="X346" s="1" t="s">
        <v>14</v>
      </c>
      <c r="Y346" s="1" t="str">
        <f>"4750386590"</f>
        <v>4750386590</v>
      </c>
    </row>
    <row r="347" spans="1:25" x14ac:dyDescent="0.2">
      <c r="A347" s="9" t="s">
        <v>1063</v>
      </c>
      <c r="B347" s="10">
        <v>42812</v>
      </c>
      <c r="C347" s="9" t="s">
        <v>1064</v>
      </c>
      <c r="D347" s="9" t="s">
        <v>152</v>
      </c>
      <c r="E347" s="9" t="s">
        <v>2190</v>
      </c>
      <c r="F347" s="9">
        <v>300000</v>
      </c>
      <c r="G347" s="8">
        <v>5537</v>
      </c>
      <c r="H347" s="4">
        <f t="shared" si="360"/>
        <v>0</v>
      </c>
      <c r="I347" s="4">
        <f t="shared" si="361"/>
        <v>5537</v>
      </c>
      <c r="J347" s="4">
        <f t="shared" si="362"/>
        <v>0</v>
      </c>
      <c r="K347" s="4">
        <f t="shared" si="363"/>
        <v>0</v>
      </c>
      <c r="L347" s="4">
        <f t="shared" si="364"/>
        <v>0</v>
      </c>
      <c r="M347" s="4">
        <f t="shared" si="365"/>
        <v>0</v>
      </c>
      <c r="N347" s="4">
        <f t="shared" si="366"/>
        <v>0</v>
      </c>
      <c r="O347" s="5">
        <f t="shared" si="367"/>
        <v>43</v>
      </c>
      <c r="P347" s="6" t="str">
        <f t="shared" si="368"/>
        <v>31 TO 45 Days</v>
      </c>
      <c r="Q347" s="7">
        <v>42855</v>
      </c>
      <c r="R347" s="6" t="s">
        <v>2178</v>
      </c>
      <c r="Y347" s="1" t="str">
        <f>"4540130795"</f>
        <v>4540130795</v>
      </c>
    </row>
    <row r="348" spans="1:25" x14ac:dyDescent="0.2">
      <c r="A348" s="9" t="s">
        <v>2061</v>
      </c>
      <c r="B348" s="10">
        <v>42837</v>
      </c>
      <c r="C348" s="9" t="s">
        <v>2062</v>
      </c>
      <c r="D348" s="9" t="s">
        <v>144</v>
      </c>
      <c r="E348" s="9" t="s">
        <v>2190</v>
      </c>
      <c r="F348" s="9">
        <v>2300000</v>
      </c>
      <c r="G348" s="8">
        <v>5558</v>
      </c>
      <c r="H348" s="4">
        <f t="shared" si="360"/>
        <v>5558</v>
      </c>
      <c r="I348" s="4">
        <f t="shared" si="361"/>
        <v>0</v>
      </c>
      <c r="J348" s="4">
        <f t="shared" si="362"/>
        <v>0</v>
      </c>
      <c r="K348" s="4">
        <f t="shared" si="363"/>
        <v>0</v>
      </c>
      <c r="L348" s="4">
        <f t="shared" si="364"/>
        <v>0</v>
      </c>
      <c r="M348" s="4">
        <f t="shared" si="365"/>
        <v>0</v>
      </c>
      <c r="N348" s="4">
        <f t="shared" si="366"/>
        <v>0</v>
      </c>
      <c r="O348" s="5">
        <f t="shared" si="367"/>
        <v>18</v>
      </c>
      <c r="P348" s="6" t="str">
        <f t="shared" si="368"/>
        <v>30 Days</v>
      </c>
      <c r="Q348" s="7">
        <v>42855</v>
      </c>
      <c r="R348" s="6" t="str">
        <f>VLOOKUP(A348:A4423,[1]BOM_INV_OPERATOR_DETAILS_OUTPUT!$A$2:$D$1233,4,FALSE)</f>
        <v>AI</v>
      </c>
      <c r="Y348" s="1" t="str">
        <f>"4912914912"</f>
        <v>4912914912</v>
      </c>
    </row>
    <row r="349" spans="1:25" x14ac:dyDescent="0.2">
      <c r="A349" s="9" t="s">
        <v>361</v>
      </c>
      <c r="B349" s="10">
        <v>42755</v>
      </c>
      <c r="C349" s="9" t="s">
        <v>362</v>
      </c>
      <c r="D349" s="9" t="s">
        <v>161</v>
      </c>
      <c r="E349" s="9" t="s">
        <v>2190</v>
      </c>
      <c r="F349" s="9">
        <v>0</v>
      </c>
      <c r="G349" s="8">
        <v>5565</v>
      </c>
      <c r="H349" s="4">
        <f t="shared" si="360"/>
        <v>0</v>
      </c>
      <c r="I349" s="4">
        <f t="shared" si="361"/>
        <v>0</v>
      </c>
      <c r="J349" s="4">
        <f t="shared" si="362"/>
        <v>0</v>
      </c>
      <c r="K349" s="4">
        <f t="shared" si="363"/>
        <v>0</v>
      </c>
      <c r="L349" s="4">
        <f t="shared" si="364"/>
        <v>5565</v>
      </c>
      <c r="M349" s="4">
        <f t="shared" si="365"/>
        <v>0</v>
      </c>
      <c r="N349" s="4">
        <f t="shared" si="366"/>
        <v>5565</v>
      </c>
      <c r="O349" s="5">
        <f t="shared" si="367"/>
        <v>100</v>
      </c>
      <c r="P349" s="6" t="str">
        <f t="shared" si="368"/>
        <v>91 To 120 Days</v>
      </c>
      <c r="Q349" s="7">
        <v>42855</v>
      </c>
      <c r="R349" s="6" t="s">
        <v>2178</v>
      </c>
      <c r="Y349" s="1" t="str">
        <f>"4711222729"</f>
        <v>4711222729</v>
      </c>
    </row>
    <row r="350" spans="1:25" x14ac:dyDescent="0.2">
      <c r="A350" s="9" t="s">
        <v>1471</v>
      </c>
      <c r="B350" s="10">
        <v>42824</v>
      </c>
      <c r="C350" s="9" t="s">
        <v>1472</v>
      </c>
      <c r="D350" s="9" t="s">
        <v>270</v>
      </c>
      <c r="E350" s="9" t="s">
        <v>2190</v>
      </c>
      <c r="F350" s="9">
        <v>0</v>
      </c>
      <c r="G350" s="8">
        <v>5568</v>
      </c>
      <c r="H350" s="4">
        <f t="shared" si="360"/>
        <v>0</v>
      </c>
      <c r="I350" s="4">
        <f t="shared" si="361"/>
        <v>5568</v>
      </c>
      <c r="J350" s="4">
        <f t="shared" si="362"/>
        <v>0</v>
      </c>
      <c r="K350" s="4">
        <f t="shared" si="363"/>
        <v>0</v>
      </c>
      <c r="L350" s="4">
        <f t="shared" si="364"/>
        <v>0</v>
      </c>
      <c r="M350" s="4">
        <f t="shared" si="365"/>
        <v>0</v>
      </c>
      <c r="N350" s="4">
        <f t="shared" si="366"/>
        <v>0</v>
      </c>
      <c r="O350" s="5">
        <f t="shared" si="367"/>
        <v>31</v>
      </c>
      <c r="P350" s="6" t="str">
        <f t="shared" si="368"/>
        <v>31 TO 45 Days</v>
      </c>
      <c r="Q350" s="7">
        <v>42855</v>
      </c>
      <c r="R350" s="6" t="s">
        <v>2178</v>
      </c>
      <c r="Y350" s="1" t="str">
        <f>"4560218844"</f>
        <v>4560218844</v>
      </c>
    </row>
    <row r="351" spans="1:25" x14ac:dyDescent="0.2">
      <c r="A351" s="9" t="s">
        <v>684</v>
      </c>
      <c r="B351" s="10">
        <v>42790</v>
      </c>
      <c r="C351" s="9" t="s">
        <v>685</v>
      </c>
      <c r="D351" s="9" t="s">
        <v>270</v>
      </c>
      <c r="E351" s="9" t="s">
        <v>2190</v>
      </c>
      <c r="F351" s="9">
        <v>0</v>
      </c>
      <c r="G351" s="8">
        <v>5569</v>
      </c>
      <c r="H351" s="4">
        <f t="shared" si="360"/>
        <v>0</v>
      </c>
      <c r="I351" s="4">
        <f t="shared" si="361"/>
        <v>0</v>
      </c>
      <c r="J351" s="4">
        <f t="shared" si="362"/>
        <v>0</v>
      </c>
      <c r="K351" s="4">
        <f t="shared" si="363"/>
        <v>5569</v>
      </c>
      <c r="L351" s="4">
        <f t="shared" si="364"/>
        <v>0</v>
      </c>
      <c r="M351" s="4">
        <f t="shared" si="365"/>
        <v>0</v>
      </c>
      <c r="N351" s="4">
        <f t="shared" si="366"/>
        <v>5569</v>
      </c>
      <c r="O351" s="5">
        <f t="shared" si="367"/>
        <v>65</v>
      </c>
      <c r="P351" s="6" t="str">
        <f t="shared" si="368"/>
        <v>61 To 90 Days</v>
      </c>
      <c r="Q351" s="7">
        <v>42855</v>
      </c>
      <c r="R351" s="6" t="s">
        <v>2178</v>
      </c>
      <c r="Y351" s="1" t="str">
        <f>"4570269146"</f>
        <v>4570269146</v>
      </c>
    </row>
    <row r="352" spans="1:25" x14ac:dyDescent="0.2">
      <c r="A352" s="9" t="s">
        <v>1535</v>
      </c>
      <c r="B352" s="10">
        <v>42825</v>
      </c>
      <c r="C352" s="9" t="s">
        <v>1536</v>
      </c>
      <c r="D352" s="9" t="s">
        <v>144</v>
      </c>
      <c r="E352" s="9" t="s">
        <v>2190</v>
      </c>
      <c r="F352" s="9">
        <v>2300000</v>
      </c>
      <c r="G352" s="8">
        <v>5569</v>
      </c>
      <c r="H352" s="4">
        <f t="shared" si="360"/>
        <v>5569</v>
      </c>
      <c r="I352" s="4">
        <f t="shared" si="361"/>
        <v>0</v>
      </c>
      <c r="J352" s="4">
        <f t="shared" si="362"/>
        <v>0</v>
      </c>
      <c r="K352" s="4">
        <f t="shared" si="363"/>
        <v>0</v>
      </c>
      <c r="L352" s="4">
        <f t="shared" si="364"/>
        <v>0</v>
      </c>
      <c r="M352" s="4">
        <f t="shared" si="365"/>
        <v>0</v>
      </c>
      <c r="N352" s="4">
        <f t="shared" si="366"/>
        <v>0</v>
      </c>
      <c r="O352" s="5">
        <f t="shared" si="367"/>
        <v>30</v>
      </c>
      <c r="P352" s="6" t="str">
        <f t="shared" si="368"/>
        <v>30 Days</v>
      </c>
      <c r="Q352" s="7">
        <v>42855</v>
      </c>
      <c r="R352" s="6" t="s">
        <v>2178</v>
      </c>
      <c r="Y352" s="1" t="str">
        <f>"4912905602"</f>
        <v>4912905602</v>
      </c>
    </row>
    <row r="353" spans="1:25" x14ac:dyDescent="0.2">
      <c r="A353" s="9" t="s">
        <v>1207</v>
      </c>
      <c r="B353" s="10">
        <v>42816</v>
      </c>
      <c r="C353" s="9" t="s">
        <v>1208</v>
      </c>
      <c r="D353" s="9" t="s">
        <v>270</v>
      </c>
      <c r="E353" s="9" t="s">
        <v>2190</v>
      </c>
      <c r="F353" s="9">
        <v>0</v>
      </c>
      <c r="G353" s="8">
        <v>5591</v>
      </c>
      <c r="H353" s="4">
        <f t="shared" ref="H353:H374" si="369">IF(O353&lt;=30,G353,0)</f>
        <v>0</v>
      </c>
      <c r="I353" s="4">
        <f t="shared" ref="I353:I374" si="370">IF(AND(O353&gt;30,O353&lt;=45),G353,0)</f>
        <v>5591</v>
      </c>
      <c r="J353" s="4">
        <f t="shared" ref="J353:J374" si="371">IF(AND(O353&gt;45,O353&lt;=60),G353,0)</f>
        <v>0</v>
      </c>
      <c r="K353" s="4">
        <f t="shared" ref="K353:K374" si="372">IF(AND(O353&gt;60,O353&lt;=90),G353,0)</f>
        <v>0</v>
      </c>
      <c r="L353" s="4">
        <f t="shared" ref="L353:L374" si="373">IF(AND(O353&gt;90,O353&lt;=120),G353,0)</f>
        <v>0</v>
      </c>
      <c r="M353" s="4">
        <f t="shared" ref="M353:M374" si="374">IF(O353&gt;120,G353,0)</f>
        <v>0</v>
      </c>
      <c r="N353" s="4">
        <f t="shared" ref="N353:N374" si="375">IF(O353&gt;60,G353,0)</f>
        <v>0</v>
      </c>
      <c r="O353" s="5">
        <f t="shared" ref="O353:O374" si="376">Q353-B353</f>
        <v>39</v>
      </c>
      <c r="P353" s="6" t="str">
        <f t="shared" ref="P353:P374" si="377">IF(AND(O353&lt;=30),"30 Days",IF(AND(O353&gt;30,O353&lt;=45),"31 TO 45 Days",IF(AND(O353&gt;45,O353&lt;=60),"46 To 60 Days",IF(AND(O353&gt;60,O353&lt;=90),"61 To 90 Days",IF(AND(O353&gt;90,O353&lt;=120),"91 To 120 Days",IF(AND(O353&gt;120),"Plus120Days",))))))</f>
        <v>31 TO 45 Days</v>
      </c>
      <c r="Q353" s="7">
        <v>42855</v>
      </c>
      <c r="R353" s="6" t="s">
        <v>2178</v>
      </c>
      <c r="Y353" s="1" t="str">
        <f>"4400189623"</f>
        <v>4400189623</v>
      </c>
    </row>
    <row r="354" spans="1:25" x14ac:dyDescent="0.2">
      <c r="A354" s="9" t="s">
        <v>407</v>
      </c>
      <c r="B354" s="10">
        <v>42763</v>
      </c>
      <c r="C354" s="9" t="s">
        <v>408</v>
      </c>
      <c r="D354" s="9" t="s">
        <v>133</v>
      </c>
      <c r="E354" s="9" t="s">
        <v>2190</v>
      </c>
      <c r="F354" s="9">
        <v>20000000</v>
      </c>
      <c r="G354" s="8">
        <v>5592</v>
      </c>
      <c r="H354" s="4">
        <f t="shared" si="369"/>
        <v>0</v>
      </c>
      <c r="I354" s="4">
        <f t="shared" si="370"/>
        <v>0</v>
      </c>
      <c r="J354" s="4">
        <f t="shared" si="371"/>
        <v>0</v>
      </c>
      <c r="K354" s="4">
        <f t="shared" si="372"/>
        <v>0</v>
      </c>
      <c r="L354" s="4">
        <f t="shared" si="373"/>
        <v>5592</v>
      </c>
      <c r="M354" s="4">
        <f t="shared" si="374"/>
        <v>0</v>
      </c>
      <c r="N354" s="4">
        <f t="shared" si="375"/>
        <v>5592</v>
      </c>
      <c r="O354" s="5">
        <f t="shared" si="376"/>
        <v>92</v>
      </c>
      <c r="P354" s="6" t="str">
        <f t="shared" si="377"/>
        <v>91 To 120 Days</v>
      </c>
      <c r="Q354" s="7">
        <v>42855</v>
      </c>
      <c r="R354" s="6" t="s">
        <v>2178</v>
      </c>
      <c r="V354" s="1" t="s">
        <v>13</v>
      </c>
      <c r="W354" s="2">
        <v>42765</v>
      </c>
      <c r="X354" s="1" t="s">
        <v>14</v>
      </c>
      <c r="Y354" s="1" t="str">
        <f>"4750384951"</f>
        <v>4750384951</v>
      </c>
    </row>
    <row r="355" spans="1:25" x14ac:dyDescent="0.2">
      <c r="A355" s="9" t="s">
        <v>405</v>
      </c>
      <c r="B355" s="10">
        <v>42763</v>
      </c>
      <c r="C355" s="9" t="s">
        <v>406</v>
      </c>
      <c r="D355" s="9" t="s">
        <v>133</v>
      </c>
      <c r="E355" s="9" t="s">
        <v>2190</v>
      </c>
      <c r="F355" s="9">
        <v>20000000</v>
      </c>
      <c r="G355" s="8">
        <v>5602</v>
      </c>
      <c r="H355" s="4">
        <f t="shared" si="369"/>
        <v>0</v>
      </c>
      <c r="I355" s="4">
        <f t="shared" si="370"/>
        <v>0</v>
      </c>
      <c r="J355" s="4">
        <f t="shared" si="371"/>
        <v>0</v>
      </c>
      <c r="K355" s="4">
        <f t="shared" si="372"/>
        <v>0</v>
      </c>
      <c r="L355" s="4">
        <f t="shared" si="373"/>
        <v>5602</v>
      </c>
      <c r="M355" s="4">
        <f t="shared" si="374"/>
        <v>0</v>
      </c>
      <c r="N355" s="4">
        <f t="shared" si="375"/>
        <v>5602</v>
      </c>
      <c r="O355" s="5">
        <f t="shared" si="376"/>
        <v>92</v>
      </c>
      <c r="P355" s="6" t="str">
        <f t="shared" si="377"/>
        <v>91 To 120 Days</v>
      </c>
      <c r="Q355" s="7">
        <v>42855</v>
      </c>
      <c r="R355" s="6" t="s">
        <v>2178</v>
      </c>
      <c r="V355" s="1" t="s">
        <v>13</v>
      </c>
      <c r="W355" s="2">
        <v>42765</v>
      </c>
      <c r="X355" s="1" t="s">
        <v>14</v>
      </c>
      <c r="Y355" s="1" t="str">
        <f>"4750384904"</f>
        <v>4750384904</v>
      </c>
    </row>
    <row r="356" spans="1:25" x14ac:dyDescent="0.2">
      <c r="A356" s="9" t="s">
        <v>547</v>
      </c>
      <c r="B356" s="10">
        <v>42776</v>
      </c>
      <c r="C356" s="9" t="s">
        <v>548</v>
      </c>
      <c r="D356" s="9" t="s">
        <v>270</v>
      </c>
      <c r="E356" s="9" t="s">
        <v>2190</v>
      </c>
      <c r="F356" s="9">
        <v>0</v>
      </c>
      <c r="G356" s="8">
        <v>5611</v>
      </c>
      <c r="H356" s="4">
        <f t="shared" si="369"/>
        <v>0</v>
      </c>
      <c r="I356" s="4">
        <f t="shared" si="370"/>
        <v>0</v>
      </c>
      <c r="J356" s="4">
        <f t="shared" si="371"/>
        <v>0</v>
      </c>
      <c r="K356" s="4">
        <f t="shared" si="372"/>
        <v>5611</v>
      </c>
      <c r="L356" s="4">
        <f t="shared" si="373"/>
        <v>0</v>
      </c>
      <c r="M356" s="4">
        <f t="shared" si="374"/>
        <v>0</v>
      </c>
      <c r="N356" s="4">
        <f t="shared" si="375"/>
        <v>5611</v>
      </c>
      <c r="O356" s="5">
        <f t="shared" si="376"/>
        <v>79</v>
      </c>
      <c r="P356" s="6" t="str">
        <f t="shared" si="377"/>
        <v>61 To 90 Days</v>
      </c>
      <c r="Q356" s="7">
        <v>42855</v>
      </c>
      <c r="R356" s="6" t="s">
        <v>2178</v>
      </c>
      <c r="Y356" s="1" t="str">
        <f>"4400187848"</f>
        <v>4400187848</v>
      </c>
    </row>
    <row r="357" spans="1:25" x14ac:dyDescent="0.2">
      <c r="A357" s="9" t="s">
        <v>1876</v>
      </c>
      <c r="B357" s="10">
        <v>42835</v>
      </c>
      <c r="C357" s="9" t="s">
        <v>1877</v>
      </c>
      <c r="D357" s="9" t="s">
        <v>161</v>
      </c>
      <c r="E357" s="9" t="s">
        <v>2190</v>
      </c>
      <c r="F357" s="9">
        <v>0</v>
      </c>
      <c r="G357" s="8">
        <v>5614</v>
      </c>
      <c r="H357" s="4">
        <f t="shared" si="369"/>
        <v>5614</v>
      </c>
      <c r="I357" s="4">
        <f t="shared" si="370"/>
        <v>0</v>
      </c>
      <c r="J357" s="4">
        <f t="shared" si="371"/>
        <v>0</v>
      </c>
      <c r="K357" s="4">
        <f t="shared" si="372"/>
        <v>0</v>
      </c>
      <c r="L357" s="4">
        <f t="shared" si="373"/>
        <v>0</v>
      </c>
      <c r="M357" s="4">
        <f t="shared" si="374"/>
        <v>0</v>
      </c>
      <c r="N357" s="4">
        <f t="shared" si="375"/>
        <v>0</v>
      </c>
      <c r="O357" s="5">
        <f t="shared" si="376"/>
        <v>20</v>
      </c>
      <c r="P357" s="6" t="str">
        <f t="shared" si="377"/>
        <v>30 Days</v>
      </c>
      <c r="Q357" s="7">
        <v>42855</v>
      </c>
      <c r="R357" s="6" t="str">
        <f>VLOOKUP(A357:A4444,[1]BOM_INV_OPERATOR_DETAILS_OUTPUT!$A$2:$D$1233,4,FALSE)</f>
        <v>AI</v>
      </c>
      <c r="Y357" s="1" t="str">
        <f>"4711242175"</f>
        <v>4711242175</v>
      </c>
    </row>
    <row r="358" spans="1:25" x14ac:dyDescent="0.2">
      <c r="A358" s="9" t="s">
        <v>462</v>
      </c>
      <c r="B358" s="10">
        <v>42768</v>
      </c>
      <c r="C358" s="9" t="s">
        <v>463</v>
      </c>
      <c r="D358" s="9" t="s">
        <v>140</v>
      </c>
      <c r="E358" s="9" t="s">
        <v>2190</v>
      </c>
      <c r="F358" s="9">
        <v>0</v>
      </c>
      <c r="G358" s="8">
        <v>5637</v>
      </c>
      <c r="H358" s="4">
        <f t="shared" si="369"/>
        <v>0</v>
      </c>
      <c r="I358" s="4">
        <f t="shared" si="370"/>
        <v>0</v>
      </c>
      <c r="J358" s="4">
        <f t="shared" si="371"/>
        <v>0</v>
      </c>
      <c r="K358" s="4">
        <f t="shared" si="372"/>
        <v>5637</v>
      </c>
      <c r="L358" s="4">
        <f t="shared" si="373"/>
        <v>0</v>
      </c>
      <c r="M358" s="4">
        <f t="shared" si="374"/>
        <v>0</v>
      </c>
      <c r="N358" s="4">
        <f t="shared" si="375"/>
        <v>5637</v>
      </c>
      <c r="O358" s="5">
        <f t="shared" si="376"/>
        <v>87</v>
      </c>
      <c r="P358" s="6" t="str">
        <f t="shared" si="377"/>
        <v>61 To 90 Days</v>
      </c>
      <c r="Q358" s="7">
        <v>42855</v>
      </c>
      <c r="R358" s="6" t="s">
        <v>2178</v>
      </c>
      <c r="Y358" s="1" t="str">
        <f>"4570267814"</f>
        <v>4570267814</v>
      </c>
    </row>
    <row r="359" spans="1:25" x14ac:dyDescent="0.2">
      <c r="A359" s="9" t="s">
        <v>212</v>
      </c>
      <c r="B359" s="10">
        <v>42730</v>
      </c>
      <c r="C359" s="9" t="s">
        <v>213</v>
      </c>
      <c r="D359" s="9" t="s">
        <v>161</v>
      </c>
      <c r="E359" s="9" t="s">
        <v>2190</v>
      </c>
      <c r="F359" s="9">
        <v>0</v>
      </c>
      <c r="G359" s="8">
        <v>5639</v>
      </c>
      <c r="H359" s="4">
        <f t="shared" si="369"/>
        <v>0</v>
      </c>
      <c r="I359" s="4">
        <f t="shared" si="370"/>
        <v>0</v>
      </c>
      <c r="J359" s="4">
        <f t="shared" si="371"/>
        <v>0</v>
      </c>
      <c r="K359" s="4">
        <f t="shared" si="372"/>
        <v>0</v>
      </c>
      <c r="L359" s="4">
        <f t="shared" si="373"/>
        <v>0</v>
      </c>
      <c r="M359" s="4">
        <f t="shared" si="374"/>
        <v>5639</v>
      </c>
      <c r="N359" s="4">
        <f t="shared" si="375"/>
        <v>5639</v>
      </c>
      <c r="O359" s="5">
        <f t="shared" si="376"/>
        <v>125</v>
      </c>
      <c r="P359" s="6" t="str">
        <f t="shared" si="377"/>
        <v>Plus120Days</v>
      </c>
      <c r="Q359" s="7">
        <v>42855</v>
      </c>
      <c r="R359" s="6" t="s">
        <v>2178</v>
      </c>
      <c r="Y359" s="1" t="str">
        <f>"4711218228"</f>
        <v>4711218228</v>
      </c>
    </row>
    <row r="360" spans="1:25" x14ac:dyDescent="0.2">
      <c r="A360" s="9" t="s">
        <v>1509</v>
      </c>
      <c r="B360" s="10">
        <v>42824</v>
      </c>
      <c r="C360" s="9" t="s">
        <v>1510</v>
      </c>
      <c r="D360" s="9" t="s">
        <v>161</v>
      </c>
      <c r="E360" s="9" t="s">
        <v>2190</v>
      </c>
      <c r="F360" s="9">
        <v>0</v>
      </c>
      <c r="G360" s="8">
        <v>5649</v>
      </c>
      <c r="H360" s="4">
        <f t="shared" si="369"/>
        <v>0</v>
      </c>
      <c r="I360" s="4">
        <f t="shared" si="370"/>
        <v>5649</v>
      </c>
      <c r="J360" s="4">
        <f t="shared" si="371"/>
        <v>0</v>
      </c>
      <c r="K360" s="4">
        <f t="shared" si="372"/>
        <v>0</v>
      </c>
      <c r="L360" s="4">
        <f t="shared" si="373"/>
        <v>0</v>
      </c>
      <c r="M360" s="4">
        <f t="shared" si="374"/>
        <v>0</v>
      </c>
      <c r="N360" s="4">
        <f t="shared" si="375"/>
        <v>0</v>
      </c>
      <c r="O360" s="5">
        <f t="shared" si="376"/>
        <v>31</v>
      </c>
      <c r="P360" s="6" t="str">
        <f t="shared" si="377"/>
        <v>31 TO 45 Days</v>
      </c>
      <c r="Q360" s="7">
        <v>42855</v>
      </c>
      <c r="R360" s="6" t="s">
        <v>2178</v>
      </c>
      <c r="Y360" s="1" t="str">
        <f>"4711239543"</f>
        <v>4711239543</v>
      </c>
    </row>
    <row r="361" spans="1:25" x14ac:dyDescent="0.2">
      <c r="A361" s="9" t="s">
        <v>1564</v>
      </c>
      <c r="B361" s="10">
        <v>42825</v>
      </c>
      <c r="C361" s="9" t="s">
        <v>1565</v>
      </c>
      <c r="D361" s="9" t="s">
        <v>133</v>
      </c>
      <c r="E361" s="9" t="s">
        <v>2190</v>
      </c>
      <c r="F361" s="9">
        <v>20000000</v>
      </c>
      <c r="G361" s="8">
        <v>5660</v>
      </c>
      <c r="H361" s="4">
        <f t="shared" si="369"/>
        <v>5660</v>
      </c>
      <c r="I361" s="4">
        <f t="shared" si="370"/>
        <v>0</v>
      </c>
      <c r="J361" s="4">
        <f t="shared" si="371"/>
        <v>0</v>
      </c>
      <c r="K361" s="4">
        <f t="shared" si="372"/>
        <v>0</v>
      </c>
      <c r="L361" s="4">
        <f t="shared" si="373"/>
        <v>0</v>
      </c>
      <c r="M361" s="4">
        <f t="shared" si="374"/>
        <v>0</v>
      </c>
      <c r="N361" s="4">
        <f t="shared" si="375"/>
        <v>0</v>
      </c>
      <c r="O361" s="5">
        <f t="shared" si="376"/>
        <v>30</v>
      </c>
      <c r="P361" s="6" t="str">
        <f t="shared" si="377"/>
        <v>30 Days</v>
      </c>
      <c r="Q361" s="7">
        <v>42855</v>
      </c>
      <c r="R361" s="6" t="s">
        <v>2178</v>
      </c>
      <c r="V361" s="1" t="s">
        <v>13</v>
      </c>
      <c r="W361" s="2">
        <v>42825</v>
      </c>
      <c r="X361" s="1" t="s">
        <v>14</v>
      </c>
      <c r="Y361" s="1" t="str">
        <f>"4750389219"</f>
        <v>4750389219</v>
      </c>
    </row>
    <row r="362" spans="1:25" x14ac:dyDescent="0.2">
      <c r="A362" s="9" t="s">
        <v>1194</v>
      </c>
      <c r="B362" s="10">
        <v>42815</v>
      </c>
      <c r="C362" s="9" t="s">
        <v>1195</v>
      </c>
      <c r="D362" s="9" t="s">
        <v>26</v>
      </c>
      <c r="E362" s="9" t="s">
        <v>2190</v>
      </c>
      <c r="F362" s="9">
        <v>100000</v>
      </c>
      <c r="G362" s="8">
        <v>5660</v>
      </c>
      <c r="H362" s="4">
        <f t="shared" si="369"/>
        <v>0</v>
      </c>
      <c r="I362" s="4">
        <f t="shared" si="370"/>
        <v>5660</v>
      </c>
      <c r="J362" s="4">
        <f t="shared" si="371"/>
        <v>0</v>
      </c>
      <c r="K362" s="4">
        <f t="shared" si="372"/>
        <v>0</v>
      </c>
      <c r="L362" s="4">
        <f t="shared" si="373"/>
        <v>0</v>
      </c>
      <c r="M362" s="4">
        <f t="shared" si="374"/>
        <v>0</v>
      </c>
      <c r="N362" s="4">
        <f t="shared" si="375"/>
        <v>0</v>
      </c>
      <c r="O362" s="5">
        <f t="shared" si="376"/>
        <v>40</v>
      </c>
      <c r="P362" s="6" t="str">
        <f t="shared" si="377"/>
        <v>31 TO 45 Days</v>
      </c>
      <c r="Q362" s="7">
        <v>42855</v>
      </c>
      <c r="R362" s="6" t="s">
        <v>2178</v>
      </c>
      <c r="V362" s="1" t="s">
        <v>13</v>
      </c>
      <c r="W362" s="2">
        <v>42815</v>
      </c>
      <c r="X362" s="1" t="s">
        <v>14</v>
      </c>
      <c r="Y362" s="1" t="str">
        <f>"419166210"</f>
        <v>419166210</v>
      </c>
    </row>
    <row r="363" spans="1:25" x14ac:dyDescent="0.2">
      <c r="A363" s="9" t="s">
        <v>1347</v>
      </c>
      <c r="B363" s="10">
        <v>42829</v>
      </c>
      <c r="C363" s="9" t="s">
        <v>1348</v>
      </c>
      <c r="D363" s="9" t="s">
        <v>26</v>
      </c>
      <c r="E363" s="9" t="s">
        <v>2190</v>
      </c>
      <c r="F363" s="9">
        <v>100000</v>
      </c>
      <c r="G363" s="8">
        <v>5664</v>
      </c>
      <c r="H363" s="4">
        <f t="shared" si="369"/>
        <v>5664</v>
      </c>
      <c r="I363" s="4">
        <f t="shared" si="370"/>
        <v>0</v>
      </c>
      <c r="J363" s="4">
        <f t="shared" si="371"/>
        <v>0</v>
      </c>
      <c r="K363" s="4">
        <f t="shared" si="372"/>
        <v>0</v>
      </c>
      <c r="L363" s="4">
        <f t="shared" si="373"/>
        <v>0</v>
      </c>
      <c r="M363" s="4">
        <f t="shared" si="374"/>
        <v>0</v>
      </c>
      <c r="N363" s="4">
        <f t="shared" si="375"/>
        <v>0</v>
      </c>
      <c r="O363" s="5">
        <f t="shared" si="376"/>
        <v>26</v>
      </c>
      <c r="P363" s="6" t="str">
        <f t="shared" si="377"/>
        <v>30 Days</v>
      </c>
      <c r="Q363" s="7">
        <v>42855</v>
      </c>
      <c r="R363" s="6" t="s">
        <v>2178</v>
      </c>
      <c r="V363" s="1" t="s">
        <v>13</v>
      </c>
      <c r="W363" s="2">
        <v>42829</v>
      </c>
      <c r="X363" s="1" t="s">
        <v>14</v>
      </c>
      <c r="Y363" s="1" t="str">
        <f>"419166306"</f>
        <v>419166306</v>
      </c>
    </row>
    <row r="364" spans="1:25" x14ac:dyDescent="0.2">
      <c r="A364" s="9" t="s">
        <v>1427</v>
      </c>
      <c r="B364" s="10">
        <v>42822</v>
      </c>
      <c r="C364" s="9" t="s">
        <v>1428</v>
      </c>
      <c r="D364" s="9" t="s">
        <v>26</v>
      </c>
      <c r="E364" s="9" t="s">
        <v>2190</v>
      </c>
      <c r="F364" s="9">
        <v>100000</v>
      </c>
      <c r="G364" s="8">
        <v>5666</v>
      </c>
      <c r="H364" s="4">
        <f t="shared" si="369"/>
        <v>0</v>
      </c>
      <c r="I364" s="4">
        <f t="shared" si="370"/>
        <v>5666</v>
      </c>
      <c r="J364" s="4">
        <f t="shared" si="371"/>
        <v>0</v>
      </c>
      <c r="K364" s="4">
        <f t="shared" si="372"/>
        <v>0</v>
      </c>
      <c r="L364" s="4">
        <f t="shared" si="373"/>
        <v>0</v>
      </c>
      <c r="M364" s="4">
        <f t="shared" si="374"/>
        <v>0</v>
      </c>
      <c r="N364" s="4">
        <f t="shared" si="375"/>
        <v>0</v>
      </c>
      <c r="O364" s="5">
        <f t="shared" si="376"/>
        <v>33</v>
      </c>
      <c r="P364" s="6" t="str">
        <f t="shared" si="377"/>
        <v>31 TO 45 Days</v>
      </c>
      <c r="Q364" s="7">
        <v>42855</v>
      </c>
      <c r="R364" s="6" t="s">
        <v>2178</v>
      </c>
      <c r="V364" s="1" t="s">
        <v>13</v>
      </c>
      <c r="W364" s="2">
        <v>42822</v>
      </c>
      <c r="X364" s="1" t="s">
        <v>14</v>
      </c>
      <c r="Y364" s="1" t="str">
        <f>"419166300"</f>
        <v>419166300</v>
      </c>
    </row>
    <row r="365" spans="1:25" x14ac:dyDescent="0.2">
      <c r="A365" s="9" t="s">
        <v>1878</v>
      </c>
      <c r="B365" s="10">
        <v>42835</v>
      </c>
      <c r="C365" s="9" t="s">
        <v>1879</v>
      </c>
      <c r="D365" s="9" t="s">
        <v>144</v>
      </c>
      <c r="E365" s="9" t="s">
        <v>2190</v>
      </c>
      <c r="F365" s="9">
        <v>2300000</v>
      </c>
      <c r="G365" s="8">
        <v>5667</v>
      </c>
      <c r="H365" s="4">
        <f t="shared" si="369"/>
        <v>5667</v>
      </c>
      <c r="I365" s="4">
        <f t="shared" si="370"/>
        <v>0</v>
      </c>
      <c r="J365" s="4">
        <f t="shared" si="371"/>
        <v>0</v>
      </c>
      <c r="K365" s="4">
        <f t="shared" si="372"/>
        <v>0</v>
      </c>
      <c r="L365" s="4">
        <f t="shared" si="373"/>
        <v>0</v>
      </c>
      <c r="M365" s="4">
        <f t="shared" si="374"/>
        <v>0</v>
      </c>
      <c r="N365" s="4">
        <f t="shared" si="375"/>
        <v>0</v>
      </c>
      <c r="O365" s="5">
        <f t="shared" si="376"/>
        <v>20</v>
      </c>
      <c r="P365" s="6" t="str">
        <f t="shared" si="377"/>
        <v>30 Days</v>
      </c>
      <c r="Q365" s="7">
        <v>42855</v>
      </c>
      <c r="R365" s="6" t="str">
        <f>VLOOKUP(A365:A4460,[1]BOM_INV_OPERATOR_DETAILS_OUTPUT!$A$2:$D$1233,4,FALSE)</f>
        <v>AI</v>
      </c>
      <c r="Y365" s="1" t="str">
        <f>"4912910538"</f>
        <v>4912910538</v>
      </c>
    </row>
    <row r="366" spans="1:25" x14ac:dyDescent="0.2">
      <c r="A366" s="9" t="s">
        <v>1894</v>
      </c>
      <c r="B366" s="10">
        <v>42835</v>
      </c>
      <c r="C366" s="9" t="s">
        <v>1895</v>
      </c>
      <c r="D366" s="9" t="s">
        <v>144</v>
      </c>
      <c r="E366" s="9" t="s">
        <v>2190</v>
      </c>
      <c r="F366" s="9">
        <v>2300000</v>
      </c>
      <c r="G366" s="8">
        <v>5669</v>
      </c>
      <c r="H366" s="4">
        <f t="shared" si="369"/>
        <v>5669</v>
      </c>
      <c r="I366" s="4">
        <f t="shared" si="370"/>
        <v>0</v>
      </c>
      <c r="J366" s="4">
        <f t="shared" si="371"/>
        <v>0</v>
      </c>
      <c r="K366" s="4">
        <f t="shared" si="372"/>
        <v>0</v>
      </c>
      <c r="L366" s="4">
        <f t="shared" si="373"/>
        <v>0</v>
      </c>
      <c r="M366" s="4">
        <f t="shared" si="374"/>
        <v>0</v>
      </c>
      <c r="N366" s="4">
        <f t="shared" si="375"/>
        <v>0</v>
      </c>
      <c r="O366" s="5">
        <f t="shared" si="376"/>
        <v>20</v>
      </c>
      <c r="P366" s="6" t="str">
        <f t="shared" si="377"/>
        <v>30 Days</v>
      </c>
      <c r="Q366" s="7">
        <v>42855</v>
      </c>
      <c r="R366" s="6" t="str">
        <f>VLOOKUP(A366:A4462,[1]BOM_INV_OPERATOR_DETAILS_OUTPUT!$A$2:$D$1233,4,FALSE)</f>
        <v>AI</v>
      </c>
      <c r="Y366" s="1" t="str">
        <f>"4912911507"</f>
        <v>4912911507</v>
      </c>
    </row>
    <row r="367" spans="1:25" x14ac:dyDescent="0.2">
      <c r="A367" s="9" t="s">
        <v>1931</v>
      </c>
      <c r="B367" s="10">
        <v>42835</v>
      </c>
      <c r="C367" s="9" t="s">
        <v>1932</v>
      </c>
      <c r="D367" s="9" t="s">
        <v>140</v>
      </c>
      <c r="E367" s="9" t="s">
        <v>2190</v>
      </c>
      <c r="F367" s="9">
        <v>0</v>
      </c>
      <c r="G367" s="8">
        <v>5685</v>
      </c>
      <c r="H367" s="4">
        <f t="shared" si="369"/>
        <v>5685</v>
      </c>
      <c r="I367" s="4">
        <f t="shared" si="370"/>
        <v>0</v>
      </c>
      <c r="J367" s="4">
        <f t="shared" si="371"/>
        <v>0</v>
      </c>
      <c r="K367" s="4">
        <f t="shared" si="372"/>
        <v>0</v>
      </c>
      <c r="L367" s="4">
        <f t="shared" si="373"/>
        <v>0</v>
      </c>
      <c r="M367" s="4">
        <f t="shared" si="374"/>
        <v>0</v>
      </c>
      <c r="N367" s="4">
        <f t="shared" si="375"/>
        <v>0</v>
      </c>
      <c r="O367" s="5">
        <f t="shared" si="376"/>
        <v>20</v>
      </c>
      <c r="P367" s="6" t="str">
        <f t="shared" si="377"/>
        <v>30 Days</v>
      </c>
      <c r="Q367" s="7">
        <v>42855</v>
      </c>
      <c r="R367" s="6" t="str">
        <f>VLOOKUP(A367:A4464,[1]BOM_INV_OPERATOR_DETAILS_OUTPUT!$A$2:$D$1233,4,FALSE)</f>
        <v>AI</v>
      </c>
      <c r="Y367" s="1" t="str">
        <f>"4930437396"</f>
        <v>4930437396</v>
      </c>
    </row>
    <row r="368" spans="1:25" x14ac:dyDescent="0.2">
      <c r="A368" s="9" t="s">
        <v>1425</v>
      </c>
      <c r="B368" s="10">
        <v>42822</v>
      </c>
      <c r="C368" s="9" t="s">
        <v>1426</v>
      </c>
      <c r="D368" s="9" t="s">
        <v>26</v>
      </c>
      <c r="E368" s="9" t="s">
        <v>2190</v>
      </c>
      <c r="F368" s="9">
        <v>100000</v>
      </c>
      <c r="G368" s="8">
        <v>5697</v>
      </c>
      <c r="H368" s="4">
        <f t="shared" si="369"/>
        <v>0</v>
      </c>
      <c r="I368" s="4">
        <f t="shared" si="370"/>
        <v>5697</v>
      </c>
      <c r="J368" s="4">
        <f t="shared" si="371"/>
        <v>0</v>
      </c>
      <c r="K368" s="4">
        <f t="shared" si="372"/>
        <v>0</v>
      </c>
      <c r="L368" s="4">
        <f t="shared" si="373"/>
        <v>0</v>
      </c>
      <c r="M368" s="4">
        <f t="shared" si="374"/>
        <v>0</v>
      </c>
      <c r="N368" s="4">
        <f t="shared" si="375"/>
        <v>0</v>
      </c>
      <c r="O368" s="5">
        <f t="shared" si="376"/>
        <v>33</v>
      </c>
      <c r="P368" s="6" t="str">
        <f t="shared" si="377"/>
        <v>31 TO 45 Days</v>
      </c>
      <c r="Q368" s="7">
        <v>42855</v>
      </c>
      <c r="R368" s="6" t="s">
        <v>2178</v>
      </c>
      <c r="V368" s="1" t="s">
        <v>13</v>
      </c>
      <c r="W368" s="2">
        <v>42822</v>
      </c>
      <c r="X368" s="1" t="s">
        <v>14</v>
      </c>
      <c r="Y368" s="1" t="str">
        <f>"419166304"</f>
        <v>419166304</v>
      </c>
    </row>
    <row r="369" spans="1:25" x14ac:dyDescent="0.2">
      <c r="A369" s="9" t="s">
        <v>821</v>
      </c>
      <c r="B369" s="10">
        <v>42794</v>
      </c>
      <c r="C369" s="9" t="s">
        <v>822</v>
      </c>
      <c r="D369" s="9" t="s">
        <v>38</v>
      </c>
      <c r="E369" s="9" t="s">
        <v>2190</v>
      </c>
      <c r="F369" s="9">
        <v>700000</v>
      </c>
      <c r="G369" s="8">
        <v>5717</v>
      </c>
      <c r="H369" s="4">
        <f t="shared" si="369"/>
        <v>0</v>
      </c>
      <c r="I369" s="4">
        <f t="shared" si="370"/>
        <v>0</v>
      </c>
      <c r="J369" s="4">
        <f t="shared" si="371"/>
        <v>0</v>
      </c>
      <c r="K369" s="4">
        <f t="shared" si="372"/>
        <v>5717</v>
      </c>
      <c r="L369" s="4">
        <f t="shared" si="373"/>
        <v>0</v>
      </c>
      <c r="M369" s="4">
        <f t="shared" si="374"/>
        <v>0</v>
      </c>
      <c r="N369" s="4">
        <f t="shared" si="375"/>
        <v>5717</v>
      </c>
      <c r="O369" s="5">
        <f t="shared" si="376"/>
        <v>61</v>
      </c>
      <c r="P369" s="6" t="str">
        <f t="shared" si="377"/>
        <v>61 To 90 Days</v>
      </c>
      <c r="Q369" s="7">
        <v>42855</v>
      </c>
      <c r="R369" s="6" t="s">
        <v>2178</v>
      </c>
      <c r="Y369" s="1" t="str">
        <f>"4540129909"</f>
        <v>4540129909</v>
      </c>
    </row>
    <row r="370" spans="1:25" x14ac:dyDescent="0.2">
      <c r="A370" s="9" t="s">
        <v>727</v>
      </c>
      <c r="B370" s="10">
        <v>42791</v>
      </c>
      <c r="C370" s="9" t="s">
        <v>728</v>
      </c>
      <c r="D370" s="9" t="s">
        <v>133</v>
      </c>
      <c r="E370" s="9" t="s">
        <v>2190</v>
      </c>
      <c r="F370" s="9">
        <v>20000000</v>
      </c>
      <c r="G370" s="8">
        <v>5731</v>
      </c>
      <c r="H370" s="4">
        <f t="shared" si="369"/>
        <v>0</v>
      </c>
      <c r="I370" s="4">
        <f t="shared" si="370"/>
        <v>0</v>
      </c>
      <c r="J370" s="4">
        <f t="shared" si="371"/>
        <v>0</v>
      </c>
      <c r="K370" s="4">
        <f t="shared" si="372"/>
        <v>5731</v>
      </c>
      <c r="L370" s="4">
        <f t="shared" si="373"/>
        <v>0</v>
      </c>
      <c r="M370" s="4">
        <f t="shared" si="374"/>
        <v>0</v>
      </c>
      <c r="N370" s="4">
        <f t="shared" si="375"/>
        <v>5731</v>
      </c>
      <c r="O370" s="5">
        <f t="shared" si="376"/>
        <v>64</v>
      </c>
      <c r="P370" s="6" t="str">
        <f t="shared" si="377"/>
        <v>61 To 90 Days</v>
      </c>
      <c r="Q370" s="7">
        <v>42855</v>
      </c>
      <c r="R370" s="6" t="s">
        <v>2178</v>
      </c>
      <c r="V370" s="1" t="s">
        <v>13</v>
      </c>
      <c r="W370" s="2">
        <v>42796</v>
      </c>
      <c r="X370" s="1" t="s">
        <v>14</v>
      </c>
      <c r="Y370" s="1" t="str">
        <f>"4750386650"</f>
        <v>4750386650</v>
      </c>
    </row>
    <row r="371" spans="1:25" x14ac:dyDescent="0.2">
      <c r="A371" s="9" t="s">
        <v>563</v>
      </c>
      <c r="B371" s="10">
        <v>42780</v>
      </c>
      <c r="C371" s="9" t="s">
        <v>564</v>
      </c>
      <c r="D371" s="9" t="s">
        <v>20</v>
      </c>
      <c r="E371" s="9" t="s">
        <v>2190</v>
      </c>
      <c r="F371" s="9">
        <v>1000000</v>
      </c>
      <c r="G371" s="8">
        <v>5732</v>
      </c>
      <c r="H371" s="4">
        <f t="shared" si="369"/>
        <v>0</v>
      </c>
      <c r="I371" s="4">
        <f t="shared" si="370"/>
        <v>0</v>
      </c>
      <c r="J371" s="4">
        <f t="shared" si="371"/>
        <v>0</v>
      </c>
      <c r="K371" s="4">
        <f t="shared" si="372"/>
        <v>5732</v>
      </c>
      <c r="L371" s="4">
        <f t="shared" si="373"/>
        <v>0</v>
      </c>
      <c r="M371" s="4">
        <f t="shared" si="374"/>
        <v>0</v>
      </c>
      <c r="N371" s="4">
        <f t="shared" si="375"/>
        <v>5732</v>
      </c>
      <c r="O371" s="5">
        <f t="shared" si="376"/>
        <v>75</v>
      </c>
      <c r="P371" s="6" t="str">
        <f t="shared" si="377"/>
        <v>61 To 90 Days</v>
      </c>
      <c r="Q371" s="7">
        <v>42855</v>
      </c>
      <c r="R371" s="6" t="s">
        <v>2178</v>
      </c>
      <c r="Y371" s="1" t="str">
        <f>"4570268395"</f>
        <v>4570268395</v>
      </c>
    </row>
    <row r="372" spans="1:25" x14ac:dyDescent="0.2">
      <c r="A372" s="9" t="s">
        <v>751</v>
      </c>
      <c r="B372" s="10">
        <v>42793</v>
      </c>
      <c r="C372" s="9" t="s">
        <v>752</v>
      </c>
      <c r="D372" s="9" t="s">
        <v>148</v>
      </c>
      <c r="E372" s="9" t="s">
        <v>2190</v>
      </c>
      <c r="F372" s="9">
        <v>500000</v>
      </c>
      <c r="G372" s="8">
        <v>5744</v>
      </c>
      <c r="H372" s="4">
        <f t="shared" si="369"/>
        <v>0</v>
      </c>
      <c r="I372" s="4">
        <f t="shared" si="370"/>
        <v>0</v>
      </c>
      <c r="J372" s="4">
        <f t="shared" si="371"/>
        <v>0</v>
      </c>
      <c r="K372" s="4">
        <f t="shared" si="372"/>
        <v>5744</v>
      </c>
      <c r="L372" s="4">
        <f t="shared" si="373"/>
        <v>0</v>
      </c>
      <c r="M372" s="4">
        <f t="shared" si="374"/>
        <v>0</v>
      </c>
      <c r="N372" s="4">
        <f t="shared" si="375"/>
        <v>5744</v>
      </c>
      <c r="O372" s="5">
        <f t="shared" si="376"/>
        <v>62</v>
      </c>
      <c r="P372" s="6" t="str">
        <f t="shared" si="377"/>
        <v>61 To 90 Days</v>
      </c>
      <c r="Q372" s="7">
        <v>42855</v>
      </c>
      <c r="R372" s="6" t="s">
        <v>2178</v>
      </c>
      <c r="Y372" s="1" t="str">
        <f>"4540130291"</f>
        <v>4540130291</v>
      </c>
    </row>
    <row r="373" spans="1:25" x14ac:dyDescent="0.2">
      <c r="A373" s="9" t="s">
        <v>1383</v>
      </c>
      <c r="B373" s="10">
        <v>42822</v>
      </c>
      <c r="C373" s="9" t="s">
        <v>1384</v>
      </c>
      <c r="D373" s="9" t="s">
        <v>161</v>
      </c>
      <c r="E373" s="9" t="s">
        <v>2190</v>
      </c>
      <c r="F373" s="9">
        <v>0</v>
      </c>
      <c r="G373" s="8">
        <v>5761</v>
      </c>
      <c r="H373" s="4">
        <f t="shared" si="369"/>
        <v>0</v>
      </c>
      <c r="I373" s="4">
        <f t="shared" si="370"/>
        <v>5761</v>
      </c>
      <c r="J373" s="4">
        <f t="shared" si="371"/>
        <v>0</v>
      </c>
      <c r="K373" s="4">
        <f t="shared" si="372"/>
        <v>0</v>
      </c>
      <c r="L373" s="4">
        <f t="shared" si="373"/>
        <v>0</v>
      </c>
      <c r="M373" s="4">
        <f t="shared" si="374"/>
        <v>0</v>
      </c>
      <c r="N373" s="4">
        <f t="shared" si="375"/>
        <v>0</v>
      </c>
      <c r="O373" s="5">
        <f t="shared" si="376"/>
        <v>33</v>
      </c>
      <c r="P373" s="6" t="str">
        <f t="shared" si="377"/>
        <v>31 TO 45 Days</v>
      </c>
      <c r="Q373" s="7">
        <v>42855</v>
      </c>
      <c r="R373" s="6" t="s">
        <v>2178</v>
      </c>
      <c r="Y373" s="1" t="str">
        <f>"4711238679"</f>
        <v>4711238679</v>
      </c>
    </row>
    <row r="374" spans="1:25" x14ac:dyDescent="0.2">
      <c r="A374" s="9" t="s">
        <v>1704</v>
      </c>
      <c r="B374" s="10">
        <v>42830</v>
      </c>
      <c r="C374" s="9" t="s">
        <v>1705</v>
      </c>
      <c r="D374" s="9" t="s">
        <v>26</v>
      </c>
      <c r="E374" s="9" t="s">
        <v>2190</v>
      </c>
      <c r="F374" s="9">
        <v>100000</v>
      </c>
      <c r="G374" s="8">
        <v>5761</v>
      </c>
      <c r="H374" s="4">
        <f t="shared" si="369"/>
        <v>5761</v>
      </c>
      <c r="I374" s="4">
        <f t="shared" si="370"/>
        <v>0</v>
      </c>
      <c r="J374" s="4">
        <f t="shared" si="371"/>
        <v>0</v>
      </c>
      <c r="K374" s="4">
        <f t="shared" si="372"/>
        <v>0</v>
      </c>
      <c r="L374" s="4">
        <f t="shared" si="373"/>
        <v>0</v>
      </c>
      <c r="M374" s="4">
        <f t="shared" si="374"/>
        <v>0</v>
      </c>
      <c r="N374" s="4">
        <f t="shared" si="375"/>
        <v>0</v>
      </c>
      <c r="O374" s="5">
        <f t="shared" si="376"/>
        <v>25</v>
      </c>
      <c r="P374" s="6" t="str">
        <f t="shared" si="377"/>
        <v>30 Days</v>
      </c>
      <c r="Q374" s="7">
        <v>42855</v>
      </c>
      <c r="R374" s="6" t="s">
        <v>2178</v>
      </c>
      <c r="V374" s="1" t="s">
        <v>13</v>
      </c>
      <c r="W374" s="2">
        <v>42830</v>
      </c>
      <c r="X374" s="1" t="s">
        <v>14</v>
      </c>
      <c r="Y374" s="1" t="str">
        <f>"419166513"</f>
        <v>419166513</v>
      </c>
    </row>
    <row r="375" spans="1:25" x14ac:dyDescent="0.2">
      <c r="A375" s="9" t="s">
        <v>1874</v>
      </c>
      <c r="B375" s="10">
        <v>42835</v>
      </c>
      <c r="C375" s="9" t="s">
        <v>1875</v>
      </c>
      <c r="D375" s="9" t="s">
        <v>144</v>
      </c>
      <c r="E375" s="9" t="s">
        <v>2190</v>
      </c>
      <c r="F375" s="9">
        <v>2300000</v>
      </c>
      <c r="G375" s="8">
        <v>5767</v>
      </c>
      <c r="H375" s="4">
        <f t="shared" ref="H375:H399" si="378">IF(O375&lt;=30,G375,0)</f>
        <v>5767</v>
      </c>
      <c r="I375" s="4">
        <f t="shared" ref="I375:I399" si="379">IF(AND(O375&gt;30,O375&lt;=45),G375,0)</f>
        <v>0</v>
      </c>
      <c r="J375" s="4">
        <f t="shared" ref="J375:J399" si="380">IF(AND(O375&gt;45,O375&lt;=60),G375,0)</f>
        <v>0</v>
      </c>
      <c r="K375" s="4">
        <f t="shared" ref="K375:K399" si="381">IF(AND(O375&gt;60,O375&lt;=90),G375,0)</f>
        <v>0</v>
      </c>
      <c r="L375" s="4">
        <f t="shared" ref="L375:L399" si="382">IF(AND(O375&gt;90,O375&lt;=120),G375,0)</f>
        <v>0</v>
      </c>
      <c r="M375" s="4">
        <f t="shared" ref="M375:M399" si="383">IF(O375&gt;120,G375,0)</f>
        <v>0</v>
      </c>
      <c r="N375" s="4">
        <f t="shared" ref="N375:N399" si="384">IF(O375&gt;60,G375,0)</f>
        <v>0</v>
      </c>
      <c r="O375" s="5">
        <f t="shared" ref="O375:O399" si="385">Q375-B375</f>
        <v>20</v>
      </c>
      <c r="P375" s="6" t="str">
        <f t="shared" ref="P375:P399" si="386">IF(AND(O375&lt;=30),"30 Days",IF(AND(O375&gt;30,O375&lt;=45),"31 TO 45 Days",IF(AND(O375&gt;45,O375&lt;=60),"46 To 60 Days",IF(AND(O375&gt;60,O375&lt;=90),"61 To 90 Days",IF(AND(O375&gt;90,O375&lt;=120),"91 To 120 Days",IF(AND(O375&gt;120),"Plus120Days",))))))</f>
        <v>30 Days</v>
      </c>
      <c r="Q375" s="7">
        <v>42855</v>
      </c>
      <c r="R375" s="6" t="str">
        <f>VLOOKUP(A375:A4495,[1]BOM_INV_OPERATOR_DETAILS_OUTPUT!$A$2:$D$1233,4,FALSE)</f>
        <v>AI</v>
      </c>
      <c r="Y375" s="1" t="str">
        <f>"4912914343"</f>
        <v>4912914343</v>
      </c>
    </row>
    <row r="376" spans="1:25" x14ac:dyDescent="0.2">
      <c r="A376" s="9" t="s">
        <v>280</v>
      </c>
      <c r="B376" s="10">
        <v>42744</v>
      </c>
      <c r="C376" s="9" t="s">
        <v>281</v>
      </c>
      <c r="D376" s="9" t="s">
        <v>270</v>
      </c>
      <c r="E376" s="9" t="s">
        <v>2190</v>
      </c>
      <c r="F376" s="9">
        <v>0</v>
      </c>
      <c r="G376" s="8">
        <v>5782</v>
      </c>
      <c r="H376" s="4">
        <f t="shared" si="378"/>
        <v>0</v>
      </c>
      <c r="I376" s="4">
        <f t="shared" si="379"/>
        <v>0</v>
      </c>
      <c r="J376" s="4">
        <f t="shared" si="380"/>
        <v>0</v>
      </c>
      <c r="K376" s="4">
        <f t="shared" si="381"/>
        <v>0</v>
      </c>
      <c r="L376" s="4">
        <f t="shared" si="382"/>
        <v>5782</v>
      </c>
      <c r="M376" s="4">
        <f t="shared" si="383"/>
        <v>0</v>
      </c>
      <c r="N376" s="4">
        <f t="shared" si="384"/>
        <v>5782</v>
      </c>
      <c r="O376" s="5">
        <f t="shared" si="385"/>
        <v>111</v>
      </c>
      <c r="P376" s="6" t="str">
        <f t="shared" si="386"/>
        <v>91 To 120 Days</v>
      </c>
      <c r="Q376" s="7">
        <v>42855</v>
      </c>
      <c r="R376" s="6" t="s">
        <v>2178</v>
      </c>
      <c r="Y376" s="1" t="str">
        <f>"4560216078"</f>
        <v>4560216078</v>
      </c>
    </row>
    <row r="377" spans="1:25" x14ac:dyDescent="0.2">
      <c r="A377" s="9" t="s">
        <v>381</v>
      </c>
      <c r="B377" s="10">
        <v>42759</v>
      </c>
      <c r="C377" s="9" t="s">
        <v>382</v>
      </c>
      <c r="D377" s="9" t="s">
        <v>161</v>
      </c>
      <c r="E377" s="9" t="s">
        <v>2190</v>
      </c>
      <c r="F377" s="9">
        <v>0</v>
      </c>
      <c r="G377" s="8">
        <v>5793</v>
      </c>
      <c r="H377" s="4">
        <f t="shared" si="378"/>
        <v>0</v>
      </c>
      <c r="I377" s="4">
        <f t="shared" si="379"/>
        <v>0</v>
      </c>
      <c r="J377" s="4">
        <f t="shared" si="380"/>
        <v>0</v>
      </c>
      <c r="K377" s="4">
        <f t="shared" si="381"/>
        <v>0</v>
      </c>
      <c r="L377" s="4">
        <f t="shared" si="382"/>
        <v>5793</v>
      </c>
      <c r="M377" s="4">
        <f t="shared" si="383"/>
        <v>0</v>
      </c>
      <c r="N377" s="4">
        <f t="shared" si="384"/>
        <v>5793</v>
      </c>
      <c r="O377" s="5">
        <f t="shared" si="385"/>
        <v>96</v>
      </c>
      <c r="P377" s="6" t="str">
        <f t="shared" si="386"/>
        <v>91 To 120 Days</v>
      </c>
      <c r="Q377" s="7">
        <v>42855</v>
      </c>
      <c r="R377" s="6" t="s">
        <v>2178</v>
      </c>
      <c r="Y377" s="1" t="str">
        <f>"4711224201"</f>
        <v>4711224201</v>
      </c>
    </row>
    <row r="378" spans="1:25" x14ac:dyDescent="0.2">
      <c r="A378" s="9" t="s">
        <v>1458</v>
      </c>
      <c r="B378" s="10">
        <v>42824</v>
      </c>
      <c r="C378" s="9" t="s">
        <v>1459</v>
      </c>
      <c r="D378" s="9" t="s">
        <v>20</v>
      </c>
      <c r="E378" s="9" t="s">
        <v>2190</v>
      </c>
      <c r="F378" s="9">
        <v>1000000</v>
      </c>
      <c r="G378" s="8">
        <v>5802</v>
      </c>
      <c r="H378" s="4">
        <f t="shared" si="378"/>
        <v>0</v>
      </c>
      <c r="I378" s="4">
        <f t="shared" si="379"/>
        <v>5802</v>
      </c>
      <c r="J378" s="4">
        <f t="shared" si="380"/>
        <v>0</v>
      </c>
      <c r="K378" s="4">
        <f t="shared" si="381"/>
        <v>0</v>
      </c>
      <c r="L378" s="4">
        <f t="shared" si="382"/>
        <v>0</v>
      </c>
      <c r="M378" s="4">
        <f t="shared" si="383"/>
        <v>0</v>
      </c>
      <c r="N378" s="4">
        <f t="shared" si="384"/>
        <v>0</v>
      </c>
      <c r="O378" s="5">
        <f t="shared" si="385"/>
        <v>31</v>
      </c>
      <c r="P378" s="6" t="str">
        <f t="shared" si="386"/>
        <v>31 TO 45 Days</v>
      </c>
      <c r="Q378" s="7">
        <v>42855</v>
      </c>
      <c r="R378" s="6" t="s">
        <v>2178</v>
      </c>
      <c r="V378" s="1" t="s">
        <v>51</v>
      </c>
      <c r="W378" s="2">
        <v>42824</v>
      </c>
      <c r="X378" s="1" t="s">
        <v>1460</v>
      </c>
      <c r="Y378" s="1" t="str">
        <f>"4812075906"</f>
        <v>4812075906</v>
      </c>
    </row>
    <row r="379" spans="1:25" x14ac:dyDescent="0.2">
      <c r="A379" s="9" t="s">
        <v>1431</v>
      </c>
      <c r="B379" s="10">
        <v>42822</v>
      </c>
      <c r="C379" s="9" t="s">
        <v>1432</v>
      </c>
      <c r="D379" s="9" t="s">
        <v>26</v>
      </c>
      <c r="E379" s="9" t="s">
        <v>2190</v>
      </c>
      <c r="F379" s="9">
        <v>100000</v>
      </c>
      <c r="G379" s="8">
        <v>5820</v>
      </c>
      <c r="H379" s="4">
        <f t="shared" si="378"/>
        <v>0</v>
      </c>
      <c r="I379" s="4">
        <f t="shared" si="379"/>
        <v>5820</v>
      </c>
      <c r="J379" s="4">
        <f t="shared" si="380"/>
        <v>0</v>
      </c>
      <c r="K379" s="4">
        <f t="shared" si="381"/>
        <v>0</v>
      </c>
      <c r="L379" s="4">
        <f t="shared" si="382"/>
        <v>0</v>
      </c>
      <c r="M379" s="4">
        <f t="shared" si="383"/>
        <v>0</v>
      </c>
      <c r="N379" s="4">
        <f t="shared" si="384"/>
        <v>0</v>
      </c>
      <c r="O379" s="5">
        <f t="shared" si="385"/>
        <v>33</v>
      </c>
      <c r="P379" s="6" t="str">
        <f t="shared" si="386"/>
        <v>31 TO 45 Days</v>
      </c>
      <c r="Q379" s="7">
        <v>42855</v>
      </c>
      <c r="R379" s="6" t="s">
        <v>2178</v>
      </c>
      <c r="V379" s="1" t="s">
        <v>13</v>
      </c>
      <c r="W379" s="2">
        <v>42822</v>
      </c>
      <c r="X379" s="1" t="s">
        <v>14</v>
      </c>
      <c r="Y379" s="1" t="str">
        <f>"419166410"</f>
        <v>419166410</v>
      </c>
    </row>
    <row r="380" spans="1:25" x14ac:dyDescent="0.2">
      <c r="A380" s="9" t="s">
        <v>1272</v>
      </c>
      <c r="B380" s="10">
        <v>42818</v>
      </c>
      <c r="C380" s="9" t="s">
        <v>1273</v>
      </c>
      <c r="D380" s="9" t="s">
        <v>52</v>
      </c>
      <c r="E380" s="9" t="s">
        <v>2190</v>
      </c>
      <c r="F380" s="9">
        <v>0</v>
      </c>
      <c r="G380" s="8">
        <v>5836</v>
      </c>
      <c r="H380" s="4">
        <f t="shared" si="378"/>
        <v>0</v>
      </c>
      <c r="I380" s="4">
        <f t="shared" si="379"/>
        <v>5836</v>
      </c>
      <c r="J380" s="4">
        <f t="shared" si="380"/>
        <v>0</v>
      </c>
      <c r="K380" s="4">
        <f t="shared" si="381"/>
        <v>0</v>
      </c>
      <c r="L380" s="4">
        <f t="shared" si="382"/>
        <v>0</v>
      </c>
      <c r="M380" s="4">
        <f t="shared" si="383"/>
        <v>0</v>
      </c>
      <c r="N380" s="4">
        <f t="shared" si="384"/>
        <v>0</v>
      </c>
      <c r="O380" s="5">
        <f t="shared" si="385"/>
        <v>37</v>
      </c>
      <c r="P380" s="6" t="str">
        <f t="shared" si="386"/>
        <v>31 TO 45 Days</v>
      </c>
      <c r="Q380" s="7">
        <v>42855</v>
      </c>
      <c r="R380" s="6" t="s">
        <v>2178</v>
      </c>
      <c r="Y380" s="1" t="str">
        <f>"4812074916"</f>
        <v>4812074916</v>
      </c>
    </row>
    <row r="381" spans="1:25" x14ac:dyDescent="0.2">
      <c r="A381" s="9" t="s">
        <v>2137</v>
      </c>
      <c r="B381" s="10">
        <v>42840</v>
      </c>
      <c r="C381" s="9" t="s">
        <v>2138</v>
      </c>
      <c r="D381" s="9" t="s">
        <v>629</v>
      </c>
      <c r="E381" s="9" t="s">
        <v>2190</v>
      </c>
      <c r="F381" s="9">
        <v>2000000</v>
      </c>
      <c r="G381" s="8">
        <v>5841</v>
      </c>
      <c r="H381" s="4">
        <f t="shared" si="378"/>
        <v>5841</v>
      </c>
      <c r="I381" s="4">
        <f t="shared" si="379"/>
        <v>0</v>
      </c>
      <c r="J381" s="4">
        <f t="shared" si="380"/>
        <v>0</v>
      </c>
      <c r="K381" s="4">
        <f t="shared" si="381"/>
        <v>0</v>
      </c>
      <c r="L381" s="4">
        <f t="shared" si="382"/>
        <v>0</v>
      </c>
      <c r="M381" s="4">
        <f t="shared" si="383"/>
        <v>0</v>
      </c>
      <c r="N381" s="4">
        <f t="shared" si="384"/>
        <v>0</v>
      </c>
      <c r="O381" s="5">
        <f t="shared" si="385"/>
        <v>15</v>
      </c>
      <c r="P381" s="6" t="str">
        <f t="shared" si="386"/>
        <v>30 Days</v>
      </c>
      <c r="Q381" s="7">
        <v>42855</v>
      </c>
      <c r="R381" s="6" t="str">
        <f>VLOOKUP(A381:A4510,[1]BOM_INV_OPERATOR_DETAILS_OUTPUT!$A$2:$D$1233,4,FALSE)</f>
        <v>AI</v>
      </c>
      <c r="Y381" s="1" t="str">
        <f>"4200122218"</f>
        <v>4200122218</v>
      </c>
    </row>
    <row r="382" spans="1:25" x14ac:dyDescent="0.2">
      <c r="A382" s="9" t="s">
        <v>2141</v>
      </c>
      <c r="B382" s="10">
        <v>42840</v>
      </c>
      <c r="C382" s="9" t="s">
        <v>2142</v>
      </c>
      <c r="D382" s="9" t="s">
        <v>629</v>
      </c>
      <c r="E382" s="9" t="s">
        <v>2190</v>
      </c>
      <c r="F382" s="9">
        <v>2000000</v>
      </c>
      <c r="G382" s="8">
        <v>5841</v>
      </c>
      <c r="H382" s="4">
        <f t="shared" si="378"/>
        <v>5841</v>
      </c>
      <c r="I382" s="4">
        <f t="shared" si="379"/>
        <v>0</v>
      </c>
      <c r="J382" s="4">
        <f t="shared" si="380"/>
        <v>0</v>
      </c>
      <c r="K382" s="4">
        <f t="shared" si="381"/>
        <v>0</v>
      </c>
      <c r="L382" s="4">
        <f t="shared" si="382"/>
        <v>0</v>
      </c>
      <c r="M382" s="4">
        <f t="shared" si="383"/>
        <v>0</v>
      </c>
      <c r="N382" s="4">
        <f t="shared" si="384"/>
        <v>0</v>
      </c>
      <c r="O382" s="5">
        <f t="shared" si="385"/>
        <v>15</v>
      </c>
      <c r="P382" s="6" t="str">
        <f t="shared" si="386"/>
        <v>30 Days</v>
      </c>
      <c r="Q382" s="7">
        <v>42855</v>
      </c>
      <c r="R382" s="6" t="str">
        <f>VLOOKUP(A382:A4511,[1]BOM_INV_OPERATOR_DETAILS_OUTPUT!$A$2:$D$1233,4,FALSE)</f>
        <v>AI</v>
      </c>
      <c r="Y382" s="1" t="str">
        <f>"4200122184"</f>
        <v>4200122184</v>
      </c>
    </row>
    <row r="383" spans="1:25" x14ac:dyDescent="0.2">
      <c r="A383" s="9" t="s">
        <v>1856</v>
      </c>
      <c r="B383" s="10">
        <v>42835</v>
      </c>
      <c r="C383" s="9" t="s">
        <v>1857</v>
      </c>
      <c r="D383" s="9" t="s">
        <v>144</v>
      </c>
      <c r="E383" s="9" t="s">
        <v>2190</v>
      </c>
      <c r="F383" s="9">
        <v>2300000</v>
      </c>
      <c r="G383" s="8">
        <v>5842</v>
      </c>
      <c r="H383" s="4">
        <f t="shared" si="378"/>
        <v>5842</v>
      </c>
      <c r="I383" s="4">
        <f t="shared" si="379"/>
        <v>0</v>
      </c>
      <c r="J383" s="4">
        <f t="shared" si="380"/>
        <v>0</v>
      </c>
      <c r="K383" s="4">
        <f t="shared" si="381"/>
        <v>0</v>
      </c>
      <c r="L383" s="4">
        <f t="shared" si="382"/>
        <v>0</v>
      </c>
      <c r="M383" s="4">
        <f t="shared" si="383"/>
        <v>0</v>
      </c>
      <c r="N383" s="4">
        <f t="shared" si="384"/>
        <v>0</v>
      </c>
      <c r="O383" s="5">
        <f t="shared" si="385"/>
        <v>20</v>
      </c>
      <c r="P383" s="6" t="str">
        <f t="shared" si="386"/>
        <v>30 Days</v>
      </c>
      <c r="Q383" s="7">
        <v>42855</v>
      </c>
      <c r="R383" s="6" t="str">
        <f>VLOOKUP(A383:A4512,[1]BOM_INV_OPERATOR_DETAILS_OUTPUT!$A$2:$D$1233,4,FALSE)</f>
        <v>AI</v>
      </c>
      <c r="Y383" s="1" t="str">
        <f>"4912910578"</f>
        <v>4912910578</v>
      </c>
    </row>
    <row r="384" spans="1:25" x14ac:dyDescent="0.2">
      <c r="A384" s="9" t="s">
        <v>1429</v>
      </c>
      <c r="B384" s="10">
        <v>42822</v>
      </c>
      <c r="C384" s="9" t="s">
        <v>1430</v>
      </c>
      <c r="D384" s="9" t="s">
        <v>26</v>
      </c>
      <c r="E384" s="9" t="s">
        <v>2190</v>
      </c>
      <c r="F384" s="9">
        <v>100000</v>
      </c>
      <c r="G384" s="8">
        <v>5846</v>
      </c>
      <c r="H384" s="4">
        <f t="shared" si="378"/>
        <v>0</v>
      </c>
      <c r="I384" s="4">
        <f t="shared" si="379"/>
        <v>5846</v>
      </c>
      <c r="J384" s="4">
        <f t="shared" si="380"/>
        <v>0</v>
      </c>
      <c r="K384" s="4">
        <f t="shared" si="381"/>
        <v>0</v>
      </c>
      <c r="L384" s="4">
        <f t="shared" si="382"/>
        <v>0</v>
      </c>
      <c r="M384" s="4">
        <f t="shared" si="383"/>
        <v>0</v>
      </c>
      <c r="N384" s="4">
        <f t="shared" si="384"/>
        <v>0</v>
      </c>
      <c r="O384" s="5">
        <f t="shared" si="385"/>
        <v>33</v>
      </c>
      <c r="P384" s="6" t="str">
        <f t="shared" si="386"/>
        <v>31 TO 45 Days</v>
      </c>
      <c r="Q384" s="7">
        <v>42855</v>
      </c>
      <c r="R384" s="6" t="s">
        <v>2178</v>
      </c>
      <c r="V384" s="1" t="s">
        <v>13</v>
      </c>
      <c r="W384" s="2">
        <v>42822</v>
      </c>
      <c r="X384" s="1" t="s">
        <v>14</v>
      </c>
      <c r="Y384" s="1" t="str">
        <f>"419166212"</f>
        <v>419166212</v>
      </c>
    </row>
    <row r="385" spans="1:25" x14ac:dyDescent="0.2">
      <c r="A385" s="9" t="s">
        <v>204</v>
      </c>
      <c r="B385" s="10">
        <v>42728</v>
      </c>
      <c r="C385" s="9" t="s">
        <v>205</v>
      </c>
      <c r="D385" s="9" t="s">
        <v>133</v>
      </c>
      <c r="E385" s="9" t="s">
        <v>2190</v>
      </c>
      <c r="F385" s="9">
        <v>20000000</v>
      </c>
      <c r="G385" s="8">
        <v>5849</v>
      </c>
      <c r="H385" s="4">
        <f t="shared" si="378"/>
        <v>0</v>
      </c>
      <c r="I385" s="4">
        <f t="shared" si="379"/>
        <v>0</v>
      </c>
      <c r="J385" s="4">
        <f t="shared" si="380"/>
        <v>0</v>
      </c>
      <c r="K385" s="4">
        <f t="shared" si="381"/>
        <v>0</v>
      </c>
      <c r="L385" s="4">
        <f t="shared" si="382"/>
        <v>0</v>
      </c>
      <c r="M385" s="4">
        <f t="shared" si="383"/>
        <v>5849</v>
      </c>
      <c r="N385" s="4">
        <f t="shared" si="384"/>
        <v>5849</v>
      </c>
      <c r="O385" s="5">
        <f t="shared" si="385"/>
        <v>127</v>
      </c>
      <c r="P385" s="6" t="str">
        <f t="shared" si="386"/>
        <v>Plus120Days</v>
      </c>
      <c r="Q385" s="7">
        <v>42855</v>
      </c>
      <c r="R385" s="6" t="s">
        <v>2178</v>
      </c>
      <c r="V385" s="1" t="s">
        <v>13</v>
      </c>
      <c r="Y385" s="1" t="str">
        <f>"4750382871"</f>
        <v>4750382871</v>
      </c>
    </row>
    <row r="386" spans="1:25" x14ac:dyDescent="0.2">
      <c r="A386" s="9" t="s">
        <v>1562</v>
      </c>
      <c r="B386" s="10">
        <v>42825</v>
      </c>
      <c r="C386" s="9" t="s">
        <v>1563</v>
      </c>
      <c r="D386" s="9" t="s">
        <v>133</v>
      </c>
      <c r="E386" s="9" t="s">
        <v>2190</v>
      </c>
      <c r="F386" s="9">
        <v>20000000</v>
      </c>
      <c r="G386" s="8">
        <v>5853</v>
      </c>
      <c r="H386" s="4">
        <f t="shared" si="378"/>
        <v>5853</v>
      </c>
      <c r="I386" s="4">
        <f t="shared" si="379"/>
        <v>0</v>
      </c>
      <c r="J386" s="4">
        <f t="shared" si="380"/>
        <v>0</v>
      </c>
      <c r="K386" s="4">
        <f t="shared" si="381"/>
        <v>0</v>
      </c>
      <c r="L386" s="4">
        <f t="shared" si="382"/>
        <v>0</v>
      </c>
      <c r="M386" s="4">
        <f t="shared" si="383"/>
        <v>0</v>
      </c>
      <c r="N386" s="4">
        <f t="shared" si="384"/>
        <v>0</v>
      </c>
      <c r="O386" s="5">
        <f t="shared" si="385"/>
        <v>30</v>
      </c>
      <c r="P386" s="6" t="str">
        <f t="shared" si="386"/>
        <v>30 Days</v>
      </c>
      <c r="Q386" s="7">
        <v>42855</v>
      </c>
      <c r="R386" s="6" t="s">
        <v>2178</v>
      </c>
      <c r="V386" s="1" t="s">
        <v>13</v>
      </c>
      <c r="W386" s="2">
        <v>42825</v>
      </c>
      <c r="X386" s="1" t="s">
        <v>14</v>
      </c>
      <c r="Y386" s="1" t="str">
        <f>"4750389160"</f>
        <v>4750389160</v>
      </c>
    </row>
    <row r="387" spans="1:25" x14ac:dyDescent="0.2">
      <c r="A387" s="9" t="s">
        <v>758</v>
      </c>
      <c r="B387" s="10">
        <v>42793</v>
      </c>
      <c r="C387" s="9" t="s">
        <v>759</v>
      </c>
      <c r="D387" s="9" t="s">
        <v>26</v>
      </c>
      <c r="E387" s="9" t="s">
        <v>2190</v>
      </c>
      <c r="F387" s="9">
        <v>100000</v>
      </c>
      <c r="G387" s="8">
        <v>5853</v>
      </c>
      <c r="H387" s="4">
        <f t="shared" si="378"/>
        <v>0</v>
      </c>
      <c r="I387" s="4">
        <f t="shared" si="379"/>
        <v>0</v>
      </c>
      <c r="J387" s="4">
        <f t="shared" si="380"/>
        <v>0</v>
      </c>
      <c r="K387" s="4">
        <f t="shared" si="381"/>
        <v>5853</v>
      </c>
      <c r="L387" s="4">
        <f t="shared" si="382"/>
        <v>0</v>
      </c>
      <c r="M387" s="4">
        <f t="shared" si="383"/>
        <v>0</v>
      </c>
      <c r="N387" s="4">
        <f t="shared" si="384"/>
        <v>5853</v>
      </c>
      <c r="O387" s="5">
        <f t="shared" si="385"/>
        <v>62</v>
      </c>
      <c r="P387" s="6" t="str">
        <f t="shared" si="386"/>
        <v>61 To 90 Days</v>
      </c>
      <c r="Q387" s="7">
        <v>42855</v>
      </c>
      <c r="R387" s="6" t="s">
        <v>2178</v>
      </c>
      <c r="V387" s="1" t="s">
        <v>13</v>
      </c>
      <c r="W387" s="2">
        <v>42796</v>
      </c>
      <c r="X387" s="1" t="s">
        <v>14</v>
      </c>
      <c r="Y387" s="1" t="str">
        <f>"419165640"</f>
        <v>419165640</v>
      </c>
    </row>
    <row r="388" spans="1:25" x14ac:dyDescent="0.2">
      <c r="A388" s="9" t="s">
        <v>1032</v>
      </c>
      <c r="B388" s="10">
        <v>42810</v>
      </c>
      <c r="C388" s="9" t="s">
        <v>1033</v>
      </c>
      <c r="D388" s="9" t="s">
        <v>270</v>
      </c>
      <c r="E388" s="9" t="s">
        <v>2190</v>
      </c>
      <c r="F388" s="9">
        <v>0</v>
      </c>
      <c r="G388" s="8">
        <v>5856</v>
      </c>
      <c r="H388" s="4">
        <f t="shared" si="378"/>
        <v>0</v>
      </c>
      <c r="I388" s="4">
        <f t="shared" si="379"/>
        <v>5856</v>
      </c>
      <c r="J388" s="4">
        <f t="shared" si="380"/>
        <v>0</v>
      </c>
      <c r="K388" s="4">
        <f t="shared" si="381"/>
        <v>0</v>
      </c>
      <c r="L388" s="4">
        <f t="shared" si="382"/>
        <v>0</v>
      </c>
      <c r="M388" s="4">
        <f t="shared" si="383"/>
        <v>0</v>
      </c>
      <c r="N388" s="4">
        <f t="shared" si="384"/>
        <v>0</v>
      </c>
      <c r="O388" s="5">
        <f t="shared" si="385"/>
        <v>45</v>
      </c>
      <c r="P388" s="6" t="str">
        <f t="shared" si="386"/>
        <v>31 TO 45 Days</v>
      </c>
      <c r="Q388" s="7">
        <v>42855</v>
      </c>
      <c r="R388" s="6" t="s">
        <v>2178</v>
      </c>
      <c r="Y388" s="1" t="str">
        <f>"4570269725"</f>
        <v>4570269725</v>
      </c>
    </row>
    <row r="389" spans="1:25" x14ac:dyDescent="0.2">
      <c r="A389" s="9" t="s">
        <v>1022</v>
      </c>
      <c r="B389" s="10">
        <v>42810</v>
      </c>
      <c r="C389" s="9" t="s">
        <v>1023</v>
      </c>
      <c r="D389" s="9" t="s">
        <v>161</v>
      </c>
      <c r="E389" s="9" t="s">
        <v>2190</v>
      </c>
      <c r="F389" s="9">
        <v>0</v>
      </c>
      <c r="G389" s="8">
        <v>5872</v>
      </c>
      <c r="H389" s="4">
        <f t="shared" si="378"/>
        <v>0</v>
      </c>
      <c r="I389" s="4">
        <f t="shared" si="379"/>
        <v>5872</v>
      </c>
      <c r="J389" s="4">
        <f t="shared" si="380"/>
        <v>0</v>
      </c>
      <c r="K389" s="4">
        <f t="shared" si="381"/>
        <v>0</v>
      </c>
      <c r="L389" s="4">
        <f t="shared" si="382"/>
        <v>0</v>
      </c>
      <c r="M389" s="4">
        <f t="shared" si="383"/>
        <v>0</v>
      </c>
      <c r="N389" s="4">
        <f t="shared" si="384"/>
        <v>0</v>
      </c>
      <c r="O389" s="5">
        <f t="shared" si="385"/>
        <v>45</v>
      </c>
      <c r="P389" s="6" t="str">
        <f t="shared" si="386"/>
        <v>31 TO 45 Days</v>
      </c>
      <c r="Q389" s="7">
        <v>42855</v>
      </c>
      <c r="R389" s="6" t="s">
        <v>2178</v>
      </c>
      <c r="Y389" s="1" t="str">
        <f>"4711234822"</f>
        <v>4711234822</v>
      </c>
    </row>
    <row r="390" spans="1:25" x14ac:dyDescent="0.2">
      <c r="A390" s="9" t="s">
        <v>422</v>
      </c>
      <c r="B390" s="10">
        <v>42765</v>
      </c>
      <c r="C390" s="9" t="s">
        <v>423</v>
      </c>
      <c r="D390" s="9" t="s">
        <v>161</v>
      </c>
      <c r="E390" s="9" t="s">
        <v>2190</v>
      </c>
      <c r="F390" s="9">
        <v>0</v>
      </c>
      <c r="G390" s="8">
        <v>5878</v>
      </c>
      <c r="H390" s="4">
        <f t="shared" si="378"/>
        <v>0</v>
      </c>
      <c r="I390" s="4">
        <f t="shared" si="379"/>
        <v>0</v>
      </c>
      <c r="J390" s="4">
        <f t="shared" si="380"/>
        <v>0</v>
      </c>
      <c r="K390" s="4">
        <f t="shared" si="381"/>
        <v>5878</v>
      </c>
      <c r="L390" s="4">
        <f t="shared" si="382"/>
        <v>0</v>
      </c>
      <c r="M390" s="4">
        <f t="shared" si="383"/>
        <v>0</v>
      </c>
      <c r="N390" s="4">
        <f t="shared" si="384"/>
        <v>5878</v>
      </c>
      <c r="O390" s="5">
        <f t="shared" si="385"/>
        <v>90</v>
      </c>
      <c r="P390" s="6" t="str">
        <f t="shared" si="386"/>
        <v>61 To 90 Days</v>
      </c>
      <c r="Q390" s="7">
        <v>42855</v>
      </c>
      <c r="R390" s="6" t="s">
        <v>2178</v>
      </c>
      <c r="Y390" s="1" t="str">
        <f>"4711225490"</f>
        <v>4711225490</v>
      </c>
    </row>
    <row r="391" spans="1:25" x14ac:dyDescent="0.2">
      <c r="A391" s="9" t="s">
        <v>1708</v>
      </c>
      <c r="B391" s="10">
        <v>42830</v>
      </c>
      <c r="C391" s="9" t="s">
        <v>1709</v>
      </c>
      <c r="D391" s="9" t="s">
        <v>38</v>
      </c>
      <c r="E391" s="9" t="s">
        <v>2190</v>
      </c>
      <c r="F391" s="9">
        <v>700000</v>
      </c>
      <c r="G391" s="8">
        <v>5884</v>
      </c>
      <c r="H391" s="4">
        <f t="shared" si="378"/>
        <v>5884</v>
      </c>
      <c r="I391" s="4">
        <f t="shared" si="379"/>
        <v>0</v>
      </c>
      <c r="J391" s="4">
        <f t="shared" si="380"/>
        <v>0</v>
      </c>
      <c r="K391" s="4">
        <f t="shared" si="381"/>
        <v>0</v>
      </c>
      <c r="L391" s="4">
        <f t="shared" si="382"/>
        <v>0</v>
      </c>
      <c r="M391" s="4">
        <f t="shared" si="383"/>
        <v>0</v>
      </c>
      <c r="N391" s="4">
        <f t="shared" si="384"/>
        <v>0</v>
      </c>
      <c r="O391" s="5">
        <f t="shared" si="385"/>
        <v>25</v>
      </c>
      <c r="P391" s="6" t="str">
        <f t="shared" si="386"/>
        <v>30 Days</v>
      </c>
      <c r="Q391" s="7">
        <v>42855</v>
      </c>
      <c r="R391" s="6" t="s">
        <v>2178</v>
      </c>
      <c r="Y391" s="1" t="str">
        <f>"417268341"</f>
        <v>417268341</v>
      </c>
    </row>
    <row r="392" spans="1:25" x14ac:dyDescent="0.2">
      <c r="A392" s="9" t="s">
        <v>921</v>
      </c>
      <c r="B392" s="10">
        <v>42801</v>
      </c>
      <c r="C392" s="9" t="s">
        <v>922</v>
      </c>
      <c r="D392" s="9" t="s">
        <v>26</v>
      </c>
      <c r="E392" s="9" t="s">
        <v>2190</v>
      </c>
      <c r="F392" s="9">
        <v>100000</v>
      </c>
      <c r="G392" s="8">
        <v>5884</v>
      </c>
      <c r="H392" s="4">
        <f t="shared" si="378"/>
        <v>0</v>
      </c>
      <c r="I392" s="4">
        <f t="shared" si="379"/>
        <v>0</v>
      </c>
      <c r="J392" s="4">
        <f t="shared" si="380"/>
        <v>5884</v>
      </c>
      <c r="K392" s="4">
        <f t="shared" si="381"/>
        <v>0</v>
      </c>
      <c r="L392" s="4">
        <f t="shared" si="382"/>
        <v>0</v>
      </c>
      <c r="M392" s="4">
        <f t="shared" si="383"/>
        <v>0</v>
      </c>
      <c r="N392" s="4">
        <f t="shared" si="384"/>
        <v>0</v>
      </c>
      <c r="O392" s="5">
        <f t="shared" si="385"/>
        <v>54</v>
      </c>
      <c r="P392" s="6" t="str">
        <f t="shared" si="386"/>
        <v>46 To 60 Days</v>
      </c>
      <c r="Q392" s="7">
        <v>42855</v>
      </c>
      <c r="R392" s="6" t="s">
        <v>2178</v>
      </c>
      <c r="V392" s="1" t="s">
        <v>13</v>
      </c>
      <c r="W392" s="2">
        <v>42801</v>
      </c>
      <c r="X392" s="1" t="s">
        <v>14</v>
      </c>
      <c r="Y392" s="1" t="str">
        <f>"419165638"</f>
        <v>419165638</v>
      </c>
    </row>
    <row r="393" spans="1:25" x14ac:dyDescent="0.2">
      <c r="A393" s="9" t="s">
        <v>1201</v>
      </c>
      <c r="B393" s="10">
        <v>42816</v>
      </c>
      <c r="C393" s="9" t="s">
        <v>1202</v>
      </c>
      <c r="D393" s="9" t="s">
        <v>161</v>
      </c>
      <c r="E393" s="9" t="s">
        <v>2190</v>
      </c>
      <c r="F393" s="9">
        <v>0</v>
      </c>
      <c r="G393" s="8">
        <v>5891</v>
      </c>
      <c r="H393" s="4">
        <f t="shared" si="378"/>
        <v>0</v>
      </c>
      <c r="I393" s="4">
        <f t="shared" si="379"/>
        <v>5891</v>
      </c>
      <c r="J393" s="4">
        <f t="shared" si="380"/>
        <v>0</v>
      </c>
      <c r="K393" s="4">
        <f t="shared" si="381"/>
        <v>0</v>
      </c>
      <c r="L393" s="4">
        <f t="shared" si="382"/>
        <v>0</v>
      </c>
      <c r="M393" s="4">
        <f t="shared" si="383"/>
        <v>0</v>
      </c>
      <c r="N393" s="4">
        <f t="shared" si="384"/>
        <v>0</v>
      </c>
      <c r="O393" s="5">
        <f t="shared" si="385"/>
        <v>39</v>
      </c>
      <c r="P393" s="6" t="str">
        <f t="shared" si="386"/>
        <v>31 TO 45 Days</v>
      </c>
      <c r="Q393" s="7">
        <v>42855</v>
      </c>
      <c r="R393" s="6" t="s">
        <v>2178</v>
      </c>
      <c r="Y393" s="1" t="str">
        <f>"4912839323"</f>
        <v>4912839323</v>
      </c>
    </row>
    <row r="394" spans="1:25" x14ac:dyDescent="0.2">
      <c r="A394" s="9" t="s">
        <v>277</v>
      </c>
      <c r="B394" s="10">
        <v>42744</v>
      </c>
      <c r="C394" s="9" t="s">
        <v>278</v>
      </c>
      <c r="D394" s="9" t="s">
        <v>133</v>
      </c>
      <c r="E394" s="9" t="s">
        <v>2190</v>
      </c>
      <c r="F394" s="9">
        <v>20000000</v>
      </c>
      <c r="G394" s="8">
        <v>5898</v>
      </c>
      <c r="H394" s="4">
        <f t="shared" si="378"/>
        <v>0</v>
      </c>
      <c r="I394" s="4">
        <f t="shared" si="379"/>
        <v>0</v>
      </c>
      <c r="J394" s="4">
        <f t="shared" si="380"/>
        <v>0</v>
      </c>
      <c r="K394" s="4">
        <f t="shared" si="381"/>
        <v>0</v>
      </c>
      <c r="L394" s="4">
        <f t="shared" si="382"/>
        <v>5898</v>
      </c>
      <c r="M394" s="4">
        <f t="shared" si="383"/>
        <v>0</v>
      </c>
      <c r="N394" s="4">
        <f t="shared" si="384"/>
        <v>5898</v>
      </c>
      <c r="O394" s="5">
        <f t="shared" si="385"/>
        <v>111</v>
      </c>
      <c r="P394" s="6" t="str">
        <f t="shared" si="386"/>
        <v>91 To 120 Days</v>
      </c>
      <c r="Q394" s="7">
        <v>42855</v>
      </c>
      <c r="R394" s="6" t="s">
        <v>2178</v>
      </c>
      <c r="V394" s="1" t="s">
        <v>13</v>
      </c>
      <c r="Y394" s="1" t="str">
        <f>"4711220956"</f>
        <v>4711220956</v>
      </c>
    </row>
    <row r="395" spans="1:25" x14ac:dyDescent="0.2">
      <c r="A395" s="9" t="s">
        <v>341</v>
      </c>
      <c r="B395" s="10">
        <v>42753</v>
      </c>
      <c r="C395" s="9" t="s">
        <v>342</v>
      </c>
      <c r="D395" s="9" t="s">
        <v>270</v>
      </c>
      <c r="E395" s="9" t="s">
        <v>2190</v>
      </c>
      <c r="F395" s="9">
        <v>0</v>
      </c>
      <c r="G395" s="8">
        <v>5915</v>
      </c>
      <c r="H395" s="4">
        <f t="shared" si="378"/>
        <v>0</v>
      </c>
      <c r="I395" s="4">
        <f t="shared" si="379"/>
        <v>0</v>
      </c>
      <c r="J395" s="4">
        <f t="shared" si="380"/>
        <v>0</v>
      </c>
      <c r="K395" s="4">
        <f t="shared" si="381"/>
        <v>0</v>
      </c>
      <c r="L395" s="4">
        <f t="shared" si="382"/>
        <v>5915</v>
      </c>
      <c r="M395" s="4">
        <f t="shared" si="383"/>
        <v>0</v>
      </c>
      <c r="N395" s="4">
        <f t="shared" si="384"/>
        <v>5915</v>
      </c>
      <c r="O395" s="5">
        <f t="shared" si="385"/>
        <v>102</v>
      </c>
      <c r="P395" s="6" t="str">
        <f t="shared" si="386"/>
        <v>91 To 120 Days</v>
      </c>
      <c r="Q395" s="7">
        <v>42855</v>
      </c>
      <c r="R395" s="6" t="s">
        <v>2178</v>
      </c>
      <c r="Y395" s="1" t="str">
        <f>"4560216438"</f>
        <v>4560216438</v>
      </c>
    </row>
    <row r="396" spans="1:25" x14ac:dyDescent="0.2">
      <c r="A396" s="9" t="s">
        <v>1638</v>
      </c>
      <c r="B396" s="10">
        <v>42828</v>
      </c>
      <c r="C396" s="9" t="s">
        <v>1639</v>
      </c>
      <c r="D396" s="9" t="s">
        <v>148</v>
      </c>
      <c r="E396" s="9" t="s">
        <v>2190</v>
      </c>
      <c r="F396" s="9">
        <v>500000</v>
      </c>
      <c r="G396" s="8">
        <v>5933</v>
      </c>
      <c r="H396" s="4">
        <f t="shared" si="378"/>
        <v>5933</v>
      </c>
      <c r="I396" s="4">
        <f t="shared" si="379"/>
        <v>0</v>
      </c>
      <c r="J396" s="4">
        <f t="shared" si="380"/>
        <v>0</v>
      </c>
      <c r="K396" s="4">
        <f t="shared" si="381"/>
        <v>0</v>
      </c>
      <c r="L396" s="4">
        <f t="shared" si="382"/>
        <v>0</v>
      </c>
      <c r="M396" s="4">
        <f t="shared" si="383"/>
        <v>0</v>
      </c>
      <c r="N396" s="4">
        <f t="shared" si="384"/>
        <v>0</v>
      </c>
      <c r="O396" s="5">
        <f t="shared" si="385"/>
        <v>27</v>
      </c>
      <c r="P396" s="6" t="str">
        <f t="shared" si="386"/>
        <v>30 Days</v>
      </c>
      <c r="Q396" s="7">
        <v>42855</v>
      </c>
      <c r="R396" s="6" t="s">
        <v>2178</v>
      </c>
      <c r="Y396" s="1" t="str">
        <f>"4540131573"</f>
        <v>4540131573</v>
      </c>
    </row>
    <row r="397" spans="1:25" x14ac:dyDescent="0.2">
      <c r="A397" s="9" t="s">
        <v>1640</v>
      </c>
      <c r="B397" s="10">
        <v>42828</v>
      </c>
      <c r="C397" s="9" t="s">
        <v>1641</v>
      </c>
      <c r="D397" s="9" t="s">
        <v>148</v>
      </c>
      <c r="E397" s="9" t="s">
        <v>2190</v>
      </c>
      <c r="F397" s="9">
        <v>500000</v>
      </c>
      <c r="G397" s="8">
        <v>5933</v>
      </c>
      <c r="H397" s="4">
        <f t="shared" si="378"/>
        <v>5933</v>
      </c>
      <c r="I397" s="4">
        <f t="shared" si="379"/>
        <v>0</v>
      </c>
      <c r="J397" s="4">
        <f t="shared" si="380"/>
        <v>0</v>
      </c>
      <c r="K397" s="4">
        <f t="shared" si="381"/>
        <v>0</v>
      </c>
      <c r="L397" s="4">
        <f t="shared" si="382"/>
        <v>0</v>
      </c>
      <c r="M397" s="4">
        <f t="shared" si="383"/>
        <v>0</v>
      </c>
      <c r="N397" s="4">
        <f t="shared" si="384"/>
        <v>0</v>
      </c>
      <c r="O397" s="5">
        <f t="shared" si="385"/>
        <v>27</v>
      </c>
      <c r="P397" s="6" t="str">
        <f t="shared" si="386"/>
        <v>30 Days</v>
      </c>
      <c r="Q397" s="7">
        <v>42855</v>
      </c>
      <c r="R397" s="6" t="s">
        <v>2178</v>
      </c>
      <c r="Y397" s="1" t="str">
        <f>"4540131574"</f>
        <v>4540131574</v>
      </c>
    </row>
    <row r="398" spans="1:25" x14ac:dyDescent="0.2">
      <c r="A398" s="9" t="s">
        <v>902</v>
      </c>
      <c r="B398" s="10">
        <v>42798</v>
      </c>
      <c r="C398" s="9" t="s">
        <v>903</v>
      </c>
      <c r="D398" s="9" t="s">
        <v>133</v>
      </c>
      <c r="E398" s="9" t="s">
        <v>2190</v>
      </c>
      <c r="F398" s="9">
        <v>20000000</v>
      </c>
      <c r="G398" s="8">
        <v>5960</v>
      </c>
      <c r="H398" s="4">
        <f t="shared" si="378"/>
        <v>0</v>
      </c>
      <c r="I398" s="4">
        <f t="shared" si="379"/>
        <v>0</v>
      </c>
      <c r="J398" s="4">
        <f t="shared" si="380"/>
        <v>5960</v>
      </c>
      <c r="K398" s="4">
        <f t="shared" si="381"/>
        <v>0</v>
      </c>
      <c r="L398" s="4">
        <f t="shared" si="382"/>
        <v>0</v>
      </c>
      <c r="M398" s="4">
        <f t="shared" si="383"/>
        <v>0</v>
      </c>
      <c r="N398" s="4">
        <f t="shared" si="384"/>
        <v>0</v>
      </c>
      <c r="O398" s="5">
        <f t="shared" si="385"/>
        <v>57</v>
      </c>
      <c r="P398" s="6" t="str">
        <f t="shared" si="386"/>
        <v>46 To 60 Days</v>
      </c>
      <c r="Q398" s="7">
        <v>42855</v>
      </c>
      <c r="R398" s="6" t="s">
        <v>2178</v>
      </c>
      <c r="V398" s="1" t="s">
        <v>13</v>
      </c>
      <c r="W398" s="2">
        <v>42800</v>
      </c>
      <c r="X398" s="1" t="s">
        <v>14</v>
      </c>
      <c r="Y398" s="1" t="str">
        <f>"4750387466"</f>
        <v>4750387466</v>
      </c>
    </row>
    <row r="399" spans="1:25" x14ac:dyDescent="0.2">
      <c r="A399" s="9" t="s">
        <v>1276</v>
      </c>
      <c r="B399" s="10">
        <v>42818</v>
      </c>
      <c r="C399" s="9" t="s">
        <v>1277</v>
      </c>
      <c r="D399" s="9" t="s">
        <v>144</v>
      </c>
      <c r="E399" s="9" t="s">
        <v>2190</v>
      </c>
      <c r="F399" s="9">
        <v>2300000</v>
      </c>
      <c r="G399" s="8">
        <v>5970</v>
      </c>
      <c r="H399" s="4">
        <f t="shared" si="378"/>
        <v>0</v>
      </c>
      <c r="I399" s="4">
        <f t="shared" si="379"/>
        <v>5970</v>
      </c>
      <c r="J399" s="4">
        <f t="shared" si="380"/>
        <v>0</v>
      </c>
      <c r="K399" s="4">
        <f t="shared" si="381"/>
        <v>0</v>
      </c>
      <c r="L399" s="4">
        <f t="shared" si="382"/>
        <v>0</v>
      </c>
      <c r="M399" s="4">
        <f t="shared" si="383"/>
        <v>0</v>
      </c>
      <c r="N399" s="4">
        <f t="shared" si="384"/>
        <v>0</v>
      </c>
      <c r="O399" s="5">
        <f t="shared" si="385"/>
        <v>37</v>
      </c>
      <c r="P399" s="6" t="str">
        <f t="shared" si="386"/>
        <v>31 TO 45 Days</v>
      </c>
      <c r="Q399" s="7">
        <v>42855</v>
      </c>
      <c r="R399" s="6" t="s">
        <v>2178</v>
      </c>
      <c r="Y399" s="1" t="str">
        <f>"4912899169"</f>
        <v>4912899169</v>
      </c>
    </row>
    <row r="400" spans="1:25" x14ac:dyDescent="0.2">
      <c r="A400" s="9" t="s">
        <v>275</v>
      </c>
      <c r="B400" s="10">
        <v>42744</v>
      </c>
      <c r="C400" s="9" t="s">
        <v>276</v>
      </c>
      <c r="D400" s="9" t="s">
        <v>133</v>
      </c>
      <c r="E400" s="9" t="s">
        <v>2190</v>
      </c>
      <c r="F400" s="9">
        <v>20000000</v>
      </c>
      <c r="G400" s="8">
        <v>5985</v>
      </c>
      <c r="H400" s="4">
        <f t="shared" ref="H400:H422" si="387">IF(O400&lt;=30,G400,0)</f>
        <v>0</v>
      </c>
      <c r="I400" s="4">
        <f t="shared" ref="I400:I422" si="388">IF(AND(O400&gt;30,O400&lt;=45),G400,0)</f>
        <v>0</v>
      </c>
      <c r="J400" s="4">
        <f t="shared" ref="J400:J422" si="389">IF(AND(O400&gt;45,O400&lt;=60),G400,0)</f>
        <v>0</v>
      </c>
      <c r="K400" s="4">
        <f t="shared" ref="K400:K422" si="390">IF(AND(O400&gt;60,O400&lt;=90),G400,0)</f>
        <v>0</v>
      </c>
      <c r="L400" s="4">
        <f t="shared" ref="L400:L422" si="391">IF(AND(O400&gt;90,O400&lt;=120),G400,0)</f>
        <v>5985</v>
      </c>
      <c r="M400" s="4">
        <f t="shared" ref="M400:M422" si="392">IF(O400&gt;120,G400,0)</f>
        <v>0</v>
      </c>
      <c r="N400" s="4">
        <f t="shared" ref="N400:N422" si="393">IF(O400&gt;60,G400,0)</f>
        <v>5985</v>
      </c>
      <c r="O400" s="5">
        <f t="shared" ref="O400:O422" si="394">Q400-B400</f>
        <v>111</v>
      </c>
      <c r="P400" s="6" t="str">
        <f t="shared" ref="P400:P422" si="395">IF(AND(O400&lt;=30),"30 Days",IF(AND(O400&gt;30,O400&lt;=45),"31 TO 45 Days",IF(AND(O400&gt;45,O400&lt;=60),"46 To 60 Days",IF(AND(O400&gt;60,O400&lt;=90),"61 To 90 Days",IF(AND(O400&gt;90,O400&lt;=120),"91 To 120 Days",IF(AND(O400&gt;120),"Plus120Days",))))))</f>
        <v>91 To 120 Days</v>
      </c>
      <c r="Q400" s="7">
        <v>42855</v>
      </c>
      <c r="R400" s="6" t="s">
        <v>2178</v>
      </c>
      <c r="V400" s="1" t="s">
        <v>13</v>
      </c>
      <c r="Y400" s="1" t="str">
        <f>"4711220952"</f>
        <v>4711220952</v>
      </c>
    </row>
    <row r="401" spans="1:25" x14ac:dyDescent="0.2">
      <c r="A401" s="9" t="s">
        <v>345</v>
      </c>
      <c r="B401" s="10">
        <v>42753</v>
      </c>
      <c r="C401" s="9" t="s">
        <v>346</v>
      </c>
      <c r="D401" s="9" t="s">
        <v>270</v>
      </c>
      <c r="E401" s="9" t="s">
        <v>2190</v>
      </c>
      <c r="F401" s="9">
        <v>0</v>
      </c>
      <c r="G401" s="8">
        <v>5989</v>
      </c>
      <c r="H401" s="4">
        <f t="shared" si="387"/>
        <v>0</v>
      </c>
      <c r="I401" s="4">
        <f t="shared" si="388"/>
        <v>0</v>
      </c>
      <c r="J401" s="4">
        <f t="shared" si="389"/>
        <v>0</v>
      </c>
      <c r="K401" s="4">
        <f t="shared" si="390"/>
        <v>0</v>
      </c>
      <c r="L401" s="4">
        <f t="shared" si="391"/>
        <v>5989</v>
      </c>
      <c r="M401" s="4">
        <f t="shared" si="392"/>
        <v>0</v>
      </c>
      <c r="N401" s="4">
        <f t="shared" si="393"/>
        <v>5989</v>
      </c>
      <c r="O401" s="5">
        <f t="shared" si="394"/>
        <v>102</v>
      </c>
      <c r="P401" s="6" t="str">
        <f t="shared" si="395"/>
        <v>91 To 120 Days</v>
      </c>
      <c r="Q401" s="7">
        <v>42855</v>
      </c>
      <c r="R401" s="6" t="s">
        <v>2178</v>
      </c>
      <c r="Y401" s="1" t="str">
        <f>"4570267338"</f>
        <v>4570267338</v>
      </c>
    </row>
    <row r="402" spans="1:25" x14ac:dyDescent="0.2">
      <c r="A402" s="9" t="s">
        <v>1461</v>
      </c>
      <c r="B402" s="10">
        <v>42824</v>
      </c>
      <c r="C402" s="9" t="s">
        <v>1462</v>
      </c>
      <c r="D402" s="9" t="s">
        <v>27</v>
      </c>
      <c r="E402" s="9" t="s">
        <v>2190</v>
      </c>
      <c r="F402" s="9">
        <v>480000</v>
      </c>
      <c r="G402" s="8">
        <v>5997</v>
      </c>
      <c r="H402" s="4">
        <f t="shared" si="387"/>
        <v>0</v>
      </c>
      <c r="I402" s="4">
        <f t="shared" si="388"/>
        <v>5997</v>
      </c>
      <c r="J402" s="4">
        <f t="shared" si="389"/>
        <v>0</v>
      </c>
      <c r="K402" s="4">
        <f t="shared" si="390"/>
        <v>0</v>
      </c>
      <c r="L402" s="4">
        <f t="shared" si="391"/>
        <v>0</v>
      </c>
      <c r="M402" s="4">
        <f t="shared" si="392"/>
        <v>0</v>
      </c>
      <c r="N402" s="4">
        <f t="shared" si="393"/>
        <v>0</v>
      </c>
      <c r="O402" s="5">
        <f t="shared" si="394"/>
        <v>31</v>
      </c>
      <c r="P402" s="6" t="str">
        <f t="shared" si="395"/>
        <v>31 TO 45 Days</v>
      </c>
      <c r="Q402" s="7">
        <v>42855</v>
      </c>
      <c r="R402" s="6" t="s">
        <v>2178</v>
      </c>
      <c r="Y402" s="1" t="str">
        <f>"4250155864"</f>
        <v>4250155864</v>
      </c>
    </row>
    <row r="403" spans="1:25" x14ac:dyDescent="0.2">
      <c r="A403" s="9" t="s">
        <v>725</v>
      </c>
      <c r="B403" s="10">
        <v>42791</v>
      </c>
      <c r="C403" s="9" t="s">
        <v>726</v>
      </c>
      <c r="D403" s="9" t="s">
        <v>133</v>
      </c>
      <c r="E403" s="9" t="s">
        <v>2190</v>
      </c>
      <c r="F403" s="9">
        <v>20000000</v>
      </c>
      <c r="G403" s="8">
        <v>6002</v>
      </c>
      <c r="H403" s="4">
        <f t="shared" si="387"/>
        <v>0</v>
      </c>
      <c r="I403" s="4">
        <f t="shared" si="388"/>
        <v>0</v>
      </c>
      <c r="J403" s="4">
        <f t="shared" si="389"/>
        <v>0</v>
      </c>
      <c r="K403" s="4">
        <f t="shared" si="390"/>
        <v>6002</v>
      </c>
      <c r="L403" s="4">
        <f t="shared" si="391"/>
        <v>0</v>
      </c>
      <c r="M403" s="4">
        <f t="shared" si="392"/>
        <v>0</v>
      </c>
      <c r="N403" s="4">
        <f t="shared" si="393"/>
        <v>6002</v>
      </c>
      <c r="O403" s="5">
        <f t="shared" si="394"/>
        <v>64</v>
      </c>
      <c r="P403" s="6" t="str">
        <f t="shared" si="395"/>
        <v>61 To 90 Days</v>
      </c>
      <c r="Q403" s="7">
        <v>42855</v>
      </c>
      <c r="R403" s="6" t="s">
        <v>2178</v>
      </c>
      <c r="V403" s="1" t="s">
        <v>13</v>
      </c>
      <c r="W403" s="2">
        <v>42796</v>
      </c>
      <c r="X403" s="1" t="s">
        <v>14</v>
      </c>
      <c r="Y403" s="1" t="str">
        <f>"4750386647"</f>
        <v>4750386647</v>
      </c>
    </row>
    <row r="404" spans="1:25" x14ac:dyDescent="0.2">
      <c r="A404" s="9" t="s">
        <v>200</v>
      </c>
      <c r="B404" s="10">
        <v>42728</v>
      </c>
      <c r="C404" s="9" t="s">
        <v>201</v>
      </c>
      <c r="D404" s="9" t="s">
        <v>133</v>
      </c>
      <c r="E404" s="9" t="s">
        <v>2190</v>
      </c>
      <c r="F404" s="9">
        <v>20000000</v>
      </c>
      <c r="G404" s="8">
        <v>6003</v>
      </c>
      <c r="H404" s="4">
        <f t="shared" si="387"/>
        <v>0</v>
      </c>
      <c r="I404" s="4">
        <f t="shared" si="388"/>
        <v>0</v>
      </c>
      <c r="J404" s="4">
        <f t="shared" si="389"/>
        <v>0</v>
      </c>
      <c r="K404" s="4">
        <f t="shared" si="390"/>
        <v>0</v>
      </c>
      <c r="L404" s="4">
        <f t="shared" si="391"/>
        <v>0</v>
      </c>
      <c r="M404" s="4">
        <f t="shared" si="392"/>
        <v>6003</v>
      </c>
      <c r="N404" s="4">
        <f t="shared" si="393"/>
        <v>6003</v>
      </c>
      <c r="O404" s="5">
        <f t="shared" si="394"/>
        <v>127</v>
      </c>
      <c r="P404" s="6" t="str">
        <f t="shared" si="395"/>
        <v>Plus120Days</v>
      </c>
      <c r="Q404" s="7">
        <v>42855</v>
      </c>
      <c r="R404" s="6" t="s">
        <v>2178</v>
      </c>
      <c r="V404" s="1" t="s">
        <v>13</v>
      </c>
      <c r="Y404" s="1" t="str">
        <f>"4750382973"</f>
        <v>4750382973</v>
      </c>
    </row>
    <row r="405" spans="1:25" x14ac:dyDescent="0.2">
      <c r="A405" s="9" t="s">
        <v>1866</v>
      </c>
      <c r="B405" s="10">
        <v>42835</v>
      </c>
      <c r="C405" s="9" t="s">
        <v>1867</v>
      </c>
      <c r="D405" s="9" t="s">
        <v>144</v>
      </c>
      <c r="E405" s="9" t="s">
        <v>2190</v>
      </c>
      <c r="F405" s="9">
        <v>2300000</v>
      </c>
      <c r="G405" s="8">
        <v>6006</v>
      </c>
      <c r="H405" s="4">
        <f t="shared" si="387"/>
        <v>6006</v>
      </c>
      <c r="I405" s="4">
        <f t="shared" si="388"/>
        <v>0</v>
      </c>
      <c r="J405" s="4">
        <f t="shared" si="389"/>
        <v>0</v>
      </c>
      <c r="K405" s="4">
        <f t="shared" si="390"/>
        <v>0</v>
      </c>
      <c r="L405" s="4">
        <f t="shared" si="391"/>
        <v>0</v>
      </c>
      <c r="M405" s="4">
        <f t="shared" si="392"/>
        <v>0</v>
      </c>
      <c r="N405" s="4">
        <f t="shared" si="393"/>
        <v>0</v>
      </c>
      <c r="O405" s="5">
        <f t="shared" si="394"/>
        <v>20</v>
      </c>
      <c r="P405" s="6" t="str">
        <f t="shared" si="395"/>
        <v>30 Days</v>
      </c>
      <c r="Q405" s="7">
        <v>42855</v>
      </c>
      <c r="R405" s="6" t="str">
        <f>VLOOKUP(A405:A4568,[1]BOM_INV_OPERATOR_DETAILS_OUTPUT!$A$2:$D$1233,4,FALSE)</f>
        <v>AI</v>
      </c>
      <c r="Y405" s="1" t="str">
        <f>"4912912688"</f>
        <v>4912912688</v>
      </c>
    </row>
    <row r="406" spans="1:25" x14ac:dyDescent="0.2">
      <c r="A406" s="9" t="s">
        <v>817</v>
      </c>
      <c r="B406" s="10">
        <v>42794</v>
      </c>
      <c r="C406" s="9" t="s">
        <v>818</v>
      </c>
      <c r="D406" s="9" t="s">
        <v>158</v>
      </c>
      <c r="E406" s="9" t="s">
        <v>2190</v>
      </c>
      <c r="F406" s="9">
        <v>0</v>
      </c>
      <c r="G406" s="8">
        <v>6008</v>
      </c>
      <c r="H406" s="4">
        <f t="shared" si="387"/>
        <v>0</v>
      </c>
      <c r="I406" s="4">
        <f t="shared" si="388"/>
        <v>0</v>
      </c>
      <c r="J406" s="4">
        <f t="shared" si="389"/>
        <v>0</v>
      </c>
      <c r="K406" s="4">
        <f t="shared" si="390"/>
        <v>6008</v>
      </c>
      <c r="L406" s="4">
        <f t="shared" si="391"/>
        <v>0</v>
      </c>
      <c r="M406" s="4">
        <f t="shared" si="392"/>
        <v>0</v>
      </c>
      <c r="N406" s="4">
        <f t="shared" si="393"/>
        <v>6008</v>
      </c>
      <c r="O406" s="5">
        <f t="shared" si="394"/>
        <v>61</v>
      </c>
      <c r="P406" s="6" t="str">
        <f t="shared" si="395"/>
        <v>61 To 90 Days</v>
      </c>
      <c r="Q406" s="7">
        <v>42855</v>
      </c>
      <c r="R406" s="6" t="s">
        <v>2178</v>
      </c>
      <c r="Y406" s="1" t="str">
        <f>"4570268823"</f>
        <v>4570268823</v>
      </c>
    </row>
    <row r="407" spans="1:25" x14ac:dyDescent="0.2">
      <c r="A407" s="9" t="s">
        <v>228</v>
      </c>
      <c r="B407" s="10">
        <v>42733</v>
      </c>
      <c r="C407" s="9" t="s">
        <v>229</v>
      </c>
      <c r="D407" s="9" t="s">
        <v>133</v>
      </c>
      <c r="E407" s="9" t="s">
        <v>2190</v>
      </c>
      <c r="F407" s="9">
        <v>20000000</v>
      </c>
      <c r="G407" s="8">
        <v>6009</v>
      </c>
      <c r="H407" s="4">
        <f t="shared" si="387"/>
        <v>0</v>
      </c>
      <c r="I407" s="4">
        <f t="shared" si="388"/>
        <v>0</v>
      </c>
      <c r="J407" s="4">
        <f t="shared" si="389"/>
        <v>0</v>
      </c>
      <c r="K407" s="4">
        <f t="shared" si="390"/>
        <v>0</v>
      </c>
      <c r="L407" s="4">
        <f t="shared" si="391"/>
        <v>0</v>
      </c>
      <c r="M407" s="4">
        <f t="shared" si="392"/>
        <v>6009</v>
      </c>
      <c r="N407" s="4">
        <f t="shared" si="393"/>
        <v>6009</v>
      </c>
      <c r="O407" s="5">
        <f t="shared" si="394"/>
        <v>122</v>
      </c>
      <c r="P407" s="6" t="str">
        <f t="shared" si="395"/>
        <v>Plus120Days</v>
      </c>
      <c r="Q407" s="7">
        <v>42855</v>
      </c>
      <c r="R407" s="6" t="s">
        <v>2178</v>
      </c>
      <c r="V407" s="1" t="s">
        <v>13</v>
      </c>
      <c r="Y407" s="1" t="str">
        <f>"4750383169"</f>
        <v>4750383169</v>
      </c>
    </row>
    <row r="408" spans="1:25" x14ac:dyDescent="0.2">
      <c r="A408" s="9" t="s">
        <v>735</v>
      </c>
      <c r="B408" s="10">
        <v>42791</v>
      </c>
      <c r="C408" s="9" t="s">
        <v>736</v>
      </c>
      <c r="D408" s="9" t="s">
        <v>161</v>
      </c>
      <c r="E408" s="9" t="s">
        <v>2190</v>
      </c>
      <c r="F408" s="9">
        <v>0</v>
      </c>
      <c r="G408" s="8">
        <v>6010</v>
      </c>
      <c r="H408" s="4">
        <f t="shared" si="387"/>
        <v>0</v>
      </c>
      <c r="I408" s="4">
        <f t="shared" si="388"/>
        <v>0</v>
      </c>
      <c r="J408" s="4">
        <f t="shared" si="389"/>
        <v>0</v>
      </c>
      <c r="K408" s="4">
        <f t="shared" si="390"/>
        <v>6010</v>
      </c>
      <c r="L408" s="4">
        <f t="shared" si="391"/>
        <v>0</v>
      </c>
      <c r="M408" s="4">
        <f t="shared" si="392"/>
        <v>0</v>
      </c>
      <c r="N408" s="4">
        <f t="shared" si="393"/>
        <v>6010</v>
      </c>
      <c r="O408" s="5">
        <f t="shared" si="394"/>
        <v>64</v>
      </c>
      <c r="P408" s="6" t="str">
        <f t="shared" si="395"/>
        <v>61 To 90 Days</v>
      </c>
      <c r="Q408" s="7">
        <v>42855</v>
      </c>
      <c r="R408" s="6" t="s">
        <v>2178</v>
      </c>
      <c r="Y408" s="1" t="str">
        <f>"4711231168"</f>
        <v>4711231168</v>
      </c>
    </row>
    <row r="409" spans="1:25" x14ac:dyDescent="0.2">
      <c r="A409" s="9" t="s">
        <v>592</v>
      </c>
      <c r="B409" s="10">
        <v>42782</v>
      </c>
      <c r="C409" s="9" t="s">
        <v>593</v>
      </c>
      <c r="D409" s="9" t="s">
        <v>270</v>
      </c>
      <c r="E409" s="9" t="s">
        <v>2190</v>
      </c>
      <c r="F409" s="9">
        <v>0</v>
      </c>
      <c r="G409" s="8">
        <v>6048</v>
      </c>
      <c r="H409" s="4">
        <f t="shared" si="387"/>
        <v>0</v>
      </c>
      <c r="I409" s="4">
        <f t="shared" si="388"/>
        <v>0</v>
      </c>
      <c r="J409" s="4">
        <f t="shared" si="389"/>
        <v>0</v>
      </c>
      <c r="K409" s="4">
        <f t="shared" si="390"/>
        <v>6048</v>
      </c>
      <c r="L409" s="4">
        <f t="shared" si="391"/>
        <v>0</v>
      </c>
      <c r="M409" s="4">
        <f t="shared" si="392"/>
        <v>0</v>
      </c>
      <c r="N409" s="4">
        <f t="shared" si="393"/>
        <v>6048</v>
      </c>
      <c r="O409" s="5">
        <f t="shared" si="394"/>
        <v>73</v>
      </c>
      <c r="P409" s="6" t="str">
        <f t="shared" si="395"/>
        <v>61 To 90 Days</v>
      </c>
      <c r="Q409" s="7">
        <v>42855</v>
      </c>
      <c r="R409" s="6" t="s">
        <v>2178</v>
      </c>
      <c r="Y409" s="1" t="str">
        <f>"4560217437"</f>
        <v>4560217437</v>
      </c>
    </row>
    <row r="410" spans="1:25" x14ac:dyDescent="0.2">
      <c r="A410" s="9" t="s">
        <v>1003</v>
      </c>
      <c r="B410" s="10">
        <v>42809</v>
      </c>
      <c r="C410" s="9" t="s">
        <v>1004</v>
      </c>
      <c r="D410" s="9" t="s">
        <v>491</v>
      </c>
      <c r="E410" s="9" t="s">
        <v>2190</v>
      </c>
      <c r="F410" s="9">
        <v>0</v>
      </c>
      <c r="G410" s="8">
        <v>6051</v>
      </c>
      <c r="H410" s="4">
        <f t="shared" si="387"/>
        <v>0</v>
      </c>
      <c r="I410" s="4">
        <f t="shared" si="388"/>
        <v>0</v>
      </c>
      <c r="J410" s="4">
        <f t="shared" si="389"/>
        <v>6051</v>
      </c>
      <c r="K410" s="4">
        <f t="shared" si="390"/>
        <v>0</v>
      </c>
      <c r="L410" s="4">
        <f t="shared" si="391"/>
        <v>0</v>
      </c>
      <c r="M410" s="4">
        <f t="shared" si="392"/>
        <v>0</v>
      </c>
      <c r="N410" s="4">
        <f t="shared" si="393"/>
        <v>0</v>
      </c>
      <c r="O410" s="5">
        <f t="shared" si="394"/>
        <v>46</v>
      </c>
      <c r="P410" s="6" t="str">
        <f t="shared" si="395"/>
        <v>46 To 60 Days</v>
      </c>
      <c r="Q410" s="7">
        <v>42855</v>
      </c>
      <c r="R410" s="6" t="s">
        <v>2178</v>
      </c>
      <c r="Y410" s="1" t="str">
        <f>"4812067025"</f>
        <v>4812067025</v>
      </c>
    </row>
    <row r="411" spans="1:25" x14ac:dyDescent="0.2">
      <c r="A411" s="9" t="s">
        <v>706</v>
      </c>
      <c r="B411" s="10">
        <v>42791</v>
      </c>
      <c r="C411" s="9" t="s">
        <v>707</v>
      </c>
      <c r="D411" s="9" t="s">
        <v>133</v>
      </c>
      <c r="E411" s="9" t="s">
        <v>2190</v>
      </c>
      <c r="F411" s="9">
        <v>20000000</v>
      </c>
      <c r="G411" s="8">
        <v>6075</v>
      </c>
      <c r="H411" s="4">
        <f t="shared" si="387"/>
        <v>0</v>
      </c>
      <c r="I411" s="4">
        <f t="shared" si="388"/>
        <v>0</v>
      </c>
      <c r="J411" s="4">
        <f t="shared" si="389"/>
        <v>0</v>
      </c>
      <c r="K411" s="4">
        <f t="shared" si="390"/>
        <v>6075</v>
      </c>
      <c r="L411" s="4">
        <f t="shared" si="391"/>
        <v>0</v>
      </c>
      <c r="M411" s="4">
        <f t="shared" si="392"/>
        <v>0</v>
      </c>
      <c r="N411" s="4">
        <f t="shared" si="393"/>
        <v>6075</v>
      </c>
      <c r="O411" s="5">
        <f t="shared" si="394"/>
        <v>64</v>
      </c>
      <c r="P411" s="6" t="str">
        <f t="shared" si="395"/>
        <v>61 To 90 Days</v>
      </c>
      <c r="Q411" s="7">
        <v>42855</v>
      </c>
      <c r="R411" s="6" t="s">
        <v>2178</v>
      </c>
      <c r="V411" s="1" t="s">
        <v>13</v>
      </c>
      <c r="W411" s="2">
        <v>42796</v>
      </c>
      <c r="X411" s="1" t="s">
        <v>14</v>
      </c>
      <c r="Y411" s="1" t="str">
        <f>"4912879779"</f>
        <v>4912879779</v>
      </c>
    </row>
    <row r="412" spans="1:25" x14ac:dyDescent="0.2">
      <c r="A412" s="9" t="s">
        <v>1499</v>
      </c>
      <c r="B412" s="10">
        <v>42824</v>
      </c>
      <c r="C412" s="9" t="s">
        <v>1500</v>
      </c>
      <c r="D412" s="9" t="s">
        <v>144</v>
      </c>
      <c r="E412" s="9" t="s">
        <v>2190</v>
      </c>
      <c r="F412" s="9">
        <v>2300000</v>
      </c>
      <c r="G412" s="8">
        <v>6079</v>
      </c>
      <c r="H412" s="4">
        <f t="shared" si="387"/>
        <v>0</v>
      </c>
      <c r="I412" s="4">
        <f t="shared" si="388"/>
        <v>6079</v>
      </c>
      <c r="J412" s="4">
        <f t="shared" si="389"/>
        <v>0</v>
      </c>
      <c r="K412" s="4">
        <f t="shared" si="390"/>
        <v>0</v>
      </c>
      <c r="L412" s="4">
        <f t="shared" si="391"/>
        <v>0</v>
      </c>
      <c r="M412" s="4">
        <f t="shared" si="392"/>
        <v>0</v>
      </c>
      <c r="N412" s="4">
        <f t="shared" si="393"/>
        <v>0</v>
      </c>
      <c r="O412" s="5">
        <f t="shared" si="394"/>
        <v>31</v>
      </c>
      <c r="P412" s="6" t="str">
        <f t="shared" si="395"/>
        <v>31 TO 45 Days</v>
      </c>
      <c r="Q412" s="7">
        <v>42855</v>
      </c>
      <c r="R412" s="6" t="s">
        <v>2178</v>
      </c>
      <c r="Y412" s="1" t="str">
        <f>"4912904378"</f>
        <v>4912904378</v>
      </c>
    </row>
    <row r="413" spans="1:25" x14ac:dyDescent="0.2">
      <c r="A413" s="9" t="s">
        <v>234</v>
      </c>
      <c r="B413" s="10">
        <v>42734</v>
      </c>
      <c r="C413" s="9" t="s">
        <v>235</v>
      </c>
      <c r="D413" s="9" t="s">
        <v>133</v>
      </c>
      <c r="E413" s="9" t="s">
        <v>2190</v>
      </c>
      <c r="F413" s="9">
        <v>20000000</v>
      </c>
      <c r="G413" s="8">
        <v>6108</v>
      </c>
      <c r="H413" s="4">
        <f t="shared" si="387"/>
        <v>0</v>
      </c>
      <c r="I413" s="4">
        <f t="shared" si="388"/>
        <v>0</v>
      </c>
      <c r="J413" s="4">
        <f t="shared" si="389"/>
        <v>0</v>
      </c>
      <c r="K413" s="4">
        <f t="shared" si="390"/>
        <v>0</v>
      </c>
      <c r="L413" s="4">
        <f t="shared" si="391"/>
        <v>0</v>
      </c>
      <c r="M413" s="4">
        <f t="shared" si="392"/>
        <v>6108</v>
      </c>
      <c r="N413" s="4">
        <f t="shared" si="393"/>
        <v>6108</v>
      </c>
      <c r="O413" s="5">
        <f t="shared" si="394"/>
        <v>121</v>
      </c>
      <c r="P413" s="6" t="str">
        <f t="shared" si="395"/>
        <v>Plus120Days</v>
      </c>
      <c r="Q413" s="7">
        <v>42855</v>
      </c>
      <c r="R413" s="6" t="s">
        <v>2178</v>
      </c>
      <c r="V413" s="1" t="s">
        <v>13</v>
      </c>
      <c r="Y413" s="1" t="str">
        <f>"4750383223"</f>
        <v>4750383223</v>
      </c>
    </row>
    <row r="414" spans="1:25" x14ac:dyDescent="0.2">
      <c r="A414" s="9" t="s">
        <v>2143</v>
      </c>
      <c r="B414" s="10">
        <v>42840</v>
      </c>
      <c r="C414" s="9" t="s">
        <v>2144</v>
      </c>
      <c r="D414" s="9" t="s">
        <v>134</v>
      </c>
      <c r="E414" s="9" t="s">
        <v>2190</v>
      </c>
      <c r="F414" s="9">
        <v>0</v>
      </c>
      <c r="G414" s="8">
        <v>6115</v>
      </c>
      <c r="H414" s="4">
        <f t="shared" si="387"/>
        <v>6115</v>
      </c>
      <c r="I414" s="4">
        <f t="shared" si="388"/>
        <v>0</v>
      </c>
      <c r="J414" s="4">
        <f t="shared" si="389"/>
        <v>0</v>
      </c>
      <c r="K414" s="4">
        <f t="shared" si="390"/>
        <v>0</v>
      </c>
      <c r="L414" s="4">
        <f t="shared" si="391"/>
        <v>0</v>
      </c>
      <c r="M414" s="4">
        <f t="shared" si="392"/>
        <v>0</v>
      </c>
      <c r="N414" s="4">
        <f t="shared" si="393"/>
        <v>0</v>
      </c>
      <c r="O414" s="5">
        <f t="shared" si="394"/>
        <v>15</v>
      </c>
      <c r="P414" s="6" t="str">
        <f t="shared" si="395"/>
        <v>30 Days</v>
      </c>
      <c r="Q414" s="7">
        <v>42855</v>
      </c>
      <c r="R414" s="6" t="str">
        <f>VLOOKUP(A414:A4595,[1]BOM_INV_OPERATOR_DETAILS_OUTPUT!$A$2:$D$1233,4,FALSE)</f>
        <v>AI</v>
      </c>
      <c r="Y414" s="1" t="str">
        <f>"4340042518"</f>
        <v>4340042518</v>
      </c>
    </row>
    <row r="415" spans="1:25" x14ac:dyDescent="0.2">
      <c r="A415" s="9" t="s">
        <v>671</v>
      </c>
      <c r="B415" s="10">
        <v>42789</v>
      </c>
      <c r="C415" s="9" t="s">
        <v>672</v>
      </c>
      <c r="D415" s="9" t="s">
        <v>133</v>
      </c>
      <c r="E415" s="9" t="s">
        <v>2190</v>
      </c>
      <c r="F415" s="9">
        <v>20000000</v>
      </c>
      <c r="G415" s="8">
        <v>6126</v>
      </c>
      <c r="H415" s="4">
        <f t="shared" si="387"/>
        <v>0</v>
      </c>
      <c r="I415" s="4">
        <f t="shared" si="388"/>
        <v>0</v>
      </c>
      <c r="J415" s="4">
        <f t="shared" si="389"/>
        <v>0</v>
      </c>
      <c r="K415" s="4">
        <f t="shared" si="390"/>
        <v>6126</v>
      </c>
      <c r="L415" s="4">
        <f t="shared" si="391"/>
        <v>0</v>
      </c>
      <c r="M415" s="4">
        <f t="shared" si="392"/>
        <v>0</v>
      </c>
      <c r="N415" s="4">
        <f t="shared" si="393"/>
        <v>6126</v>
      </c>
      <c r="O415" s="5">
        <f t="shared" si="394"/>
        <v>66</v>
      </c>
      <c r="P415" s="6" t="str">
        <f t="shared" si="395"/>
        <v>61 To 90 Days</v>
      </c>
      <c r="Q415" s="7">
        <v>42855</v>
      </c>
      <c r="R415" s="6" t="s">
        <v>2178</v>
      </c>
      <c r="V415" s="1" t="s">
        <v>13</v>
      </c>
      <c r="W415" s="2">
        <v>42796</v>
      </c>
      <c r="X415" s="1" t="s">
        <v>14</v>
      </c>
      <c r="Y415" s="1" t="str">
        <f>"4750386532"</f>
        <v>4750386532</v>
      </c>
    </row>
    <row r="416" spans="1:25" x14ac:dyDescent="0.2">
      <c r="A416" s="9" t="s">
        <v>352</v>
      </c>
      <c r="B416" s="10">
        <v>42754</v>
      </c>
      <c r="C416" s="9" t="s">
        <v>353</v>
      </c>
      <c r="D416" s="9" t="s">
        <v>270</v>
      </c>
      <c r="E416" s="9" t="s">
        <v>2190</v>
      </c>
      <c r="F416" s="9">
        <v>0</v>
      </c>
      <c r="G416" s="8">
        <v>6134</v>
      </c>
      <c r="H416" s="4">
        <f t="shared" si="387"/>
        <v>0</v>
      </c>
      <c r="I416" s="4">
        <f t="shared" si="388"/>
        <v>0</v>
      </c>
      <c r="J416" s="4">
        <f t="shared" si="389"/>
        <v>0</v>
      </c>
      <c r="K416" s="4">
        <f t="shared" si="390"/>
        <v>0</v>
      </c>
      <c r="L416" s="4">
        <f t="shared" si="391"/>
        <v>6134</v>
      </c>
      <c r="M416" s="4">
        <f t="shared" si="392"/>
        <v>0</v>
      </c>
      <c r="N416" s="4">
        <f t="shared" si="393"/>
        <v>6134</v>
      </c>
      <c r="O416" s="5">
        <f t="shared" si="394"/>
        <v>101</v>
      </c>
      <c r="P416" s="6" t="str">
        <f t="shared" si="395"/>
        <v>91 To 120 Days</v>
      </c>
      <c r="Q416" s="7">
        <v>42855</v>
      </c>
      <c r="R416" s="6" t="s">
        <v>2178</v>
      </c>
      <c r="Y416" s="1" t="str">
        <f>"4400186894"</f>
        <v>4400186894</v>
      </c>
    </row>
    <row r="417" spans="1:25" x14ac:dyDescent="0.2">
      <c r="A417" s="9" t="s">
        <v>1870</v>
      </c>
      <c r="B417" s="10">
        <v>42835</v>
      </c>
      <c r="C417" s="9" t="s">
        <v>1871</v>
      </c>
      <c r="D417" s="9" t="s">
        <v>161</v>
      </c>
      <c r="E417" s="9" t="s">
        <v>2190</v>
      </c>
      <c r="F417" s="9">
        <v>0</v>
      </c>
      <c r="G417" s="8">
        <v>6139</v>
      </c>
      <c r="H417" s="4">
        <f t="shared" si="387"/>
        <v>6139</v>
      </c>
      <c r="I417" s="4">
        <f t="shared" si="388"/>
        <v>0</v>
      </c>
      <c r="J417" s="4">
        <f t="shared" si="389"/>
        <v>0</v>
      </c>
      <c r="K417" s="4">
        <f t="shared" si="390"/>
        <v>0</v>
      </c>
      <c r="L417" s="4">
        <f t="shared" si="391"/>
        <v>0</v>
      </c>
      <c r="M417" s="4">
        <f t="shared" si="392"/>
        <v>0</v>
      </c>
      <c r="N417" s="4">
        <f t="shared" si="393"/>
        <v>0</v>
      </c>
      <c r="O417" s="5">
        <f t="shared" si="394"/>
        <v>20</v>
      </c>
      <c r="P417" s="6" t="str">
        <f t="shared" si="395"/>
        <v>30 Days</v>
      </c>
      <c r="Q417" s="7">
        <v>42855</v>
      </c>
      <c r="R417" s="6" t="str">
        <f>VLOOKUP(A417:A4604,[1]BOM_INV_OPERATOR_DETAILS_OUTPUT!$A$2:$D$1233,4,FALSE)</f>
        <v>AI</v>
      </c>
      <c r="Y417" s="1" t="str">
        <f>"4711241112"</f>
        <v>4711241112</v>
      </c>
    </row>
    <row r="418" spans="1:25" x14ac:dyDescent="0.2">
      <c r="A418" s="9" t="s">
        <v>286</v>
      </c>
      <c r="B418" s="10">
        <v>42745</v>
      </c>
      <c r="C418" s="9" t="s">
        <v>287</v>
      </c>
      <c r="D418" s="9" t="s">
        <v>133</v>
      </c>
      <c r="E418" s="9" t="s">
        <v>2190</v>
      </c>
      <c r="F418" s="9">
        <v>20000000</v>
      </c>
      <c r="G418" s="8">
        <v>6150</v>
      </c>
      <c r="H418" s="4">
        <f t="shared" si="387"/>
        <v>0</v>
      </c>
      <c r="I418" s="4">
        <f t="shared" si="388"/>
        <v>0</v>
      </c>
      <c r="J418" s="4">
        <f t="shared" si="389"/>
        <v>0</v>
      </c>
      <c r="K418" s="4">
        <f t="shared" si="390"/>
        <v>0</v>
      </c>
      <c r="L418" s="4">
        <f t="shared" si="391"/>
        <v>6150</v>
      </c>
      <c r="M418" s="4">
        <f t="shared" si="392"/>
        <v>0</v>
      </c>
      <c r="N418" s="4">
        <f t="shared" si="393"/>
        <v>6150</v>
      </c>
      <c r="O418" s="5">
        <f t="shared" si="394"/>
        <v>110</v>
      </c>
      <c r="P418" s="6" t="str">
        <f t="shared" si="395"/>
        <v>91 To 120 Days</v>
      </c>
      <c r="Q418" s="7">
        <v>42855</v>
      </c>
      <c r="R418" s="6" t="s">
        <v>2178</v>
      </c>
      <c r="V418" s="1" t="s">
        <v>13</v>
      </c>
      <c r="Y418" s="1" t="str">
        <f>"4912845003"</f>
        <v>4912845003</v>
      </c>
    </row>
    <row r="419" spans="1:25" x14ac:dyDescent="0.2">
      <c r="A419" s="9" t="s">
        <v>220</v>
      </c>
      <c r="B419" s="10">
        <v>42732</v>
      </c>
      <c r="C419" s="9" t="s">
        <v>221</v>
      </c>
      <c r="D419" s="9" t="s">
        <v>133</v>
      </c>
      <c r="E419" s="9" t="s">
        <v>2190</v>
      </c>
      <c r="F419" s="9">
        <v>20000000</v>
      </c>
      <c r="G419" s="8">
        <v>6154</v>
      </c>
      <c r="H419" s="4">
        <f t="shared" si="387"/>
        <v>0</v>
      </c>
      <c r="I419" s="4">
        <f t="shared" si="388"/>
        <v>0</v>
      </c>
      <c r="J419" s="4">
        <f t="shared" si="389"/>
        <v>0</v>
      </c>
      <c r="K419" s="4">
        <f t="shared" si="390"/>
        <v>0</v>
      </c>
      <c r="L419" s="4">
        <f t="shared" si="391"/>
        <v>0</v>
      </c>
      <c r="M419" s="4">
        <f t="shared" si="392"/>
        <v>6154</v>
      </c>
      <c r="N419" s="4">
        <f t="shared" si="393"/>
        <v>6154</v>
      </c>
      <c r="O419" s="5">
        <f t="shared" si="394"/>
        <v>123</v>
      </c>
      <c r="P419" s="6" t="str">
        <f t="shared" si="395"/>
        <v>Plus120Days</v>
      </c>
      <c r="Q419" s="7">
        <v>42855</v>
      </c>
      <c r="R419" s="6" t="s">
        <v>2178</v>
      </c>
      <c r="V419" s="1" t="s">
        <v>13</v>
      </c>
      <c r="Y419" s="1" t="str">
        <f>"4912844171"</f>
        <v>4912844171</v>
      </c>
    </row>
    <row r="420" spans="1:25" x14ac:dyDescent="0.2">
      <c r="A420" s="9" t="s">
        <v>1533</v>
      </c>
      <c r="B420" s="10">
        <v>42825</v>
      </c>
      <c r="C420" s="9" t="s">
        <v>1534</v>
      </c>
      <c r="D420" s="9" t="s">
        <v>133</v>
      </c>
      <c r="E420" s="9" t="s">
        <v>2190</v>
      </c>
      <c r="F420" s="9">
        <v>20000000</v>
      </c>
      <c r="G420" s="8">
        <v>6154</v>
      </c>
      <c r="H420" s="4">
        <f t="shared" si="387"/>
        <v>6154</v>
      </c>
      <c r="I420" s="4">
        <f t="shared" si="388"/>
        <v>0</v>
      </c>
      <c r="J420" s="4">
        <f t="shared" si="389"/>
        <v>0</v>
      </c>
      <c r="K420" s="4">
        <f t="shared" si="390"/>
        <v>0</v>
      </c>
      <c r="L420" s="4">
        <f t="shared" si="391"/>
        <v>0</v>
      </c>
      <c r="M420" s="4">
        <f t="shared" si="392"/>
        <v>0</v>
      </c>
      <c r="N420" s="4">
        <f t="shared" si="393"/>
        <v>0</v>
      </c>
      <c r="O420" s="5">
        <f t="shared" si="394"/>
        <v>30</v>
      </c>
      <c r="P420" s="6" t="str">
        <f t="shared" si="395"/>
        <v>30 Days</v>
      </c>
      <c r="Q420" s="7">
        <v>42855</v>
      </c>
      <c r="R420" s="6" t="s">
        <v>2178</v>
      </c>
      <c r="V420" s="1" t="s">
        <v>13</v>
      </c>
      <c r="W420" s="2">
        <v>42825</v>
      </c>
      <c r="X420" s="1" t="s">
        <v>14</v>
      </c>
      <c r="Y420" s="1" t="str">
        <f>"4912905507"</f>
        <v>4912905507</v>
      </c>
    </row>
    <row r="421" spans="1:25" x14ac:dyDescent="0.2">
      <c r="A421" s="9" t="s">
        <v>317</v>
      </c>
      <c r="B421" s="10">
        <v>42748</v>
      </c>
      <c r="C421" s="9" t="s">
        <v>318</v>
      </c>
      <c r="D421" s="9" t="s">
        <v>133</v>
      </c>
      <c r="E421" s="9" t="s">
        <v>2190</v>
      </c>
      <c r="F421" s="9">
        <v>20000000</v>
      </c>
      <c r="G421" s="8">
        <v>6157</v>
      </c>
      <c r="H421" s="4">
        <f t="shared" si="387"/>
        <v>0</v>
      </c>
      <c r="I421" s="4">
        <f t="shared" si="388"/>
        <v>0</v>
      </c>
      <c r="J421" s="4">
        <f t="shared" si="389"/>
        <v>0</v>
      </c>
      <c r="K421" s="4">
        <f t="shared" si="390"/>
        <v>0</v>
      </c>
      <c r="L421" s="4">
        <f t="shared" si="391"/>
        <v>6157</v>
      </c>
      <c r="M421" s="4">
        <f t="shared" si="392"/>
        <v>0</v>
      </c>
      <c r="N421" s="4">
        <f t="shared" si="393"/>
        <v>6157</v>
      </c>
      <c r="O421" s="5">
        <f t="shared" si="394"/>
        <v>107</v>
      </c>
      <c r="P421" s="6" t="str">
        <f t="shared" si="395"/>
        <v>91 To 120 Days</v>
      </c>
      <c r="Q421" s="7">
        <v>42855</v>
      </c>
      <c r="R421" s="6" t="s">
        <v>2178</v>
      </c>
      <c r="V421" s="1" t="s">
        <v>13</v>
      </c>
      <c r="Y421" s="1" t="str">
        <f>"4912855819"</f>
        <v>4912855819</v>
      </c>
    </row>
    <row r="422" spans="1:25" x14ac:dyDescent="0.2">
      <c r="A422" s="9" t="s">
        <v>334</v>
      </c>
      <c r="B422" s="10">
        <v>42752</v>
      </c>
      <c r="C422" s="9" t="s">
        <v>335</v>
      </c>
      <c r="D422" s="9" t="s">
        <v>26</v>
      </c>
      <c r="E422" s="9" t="s">
        <v>2190</v>
      </c>
      <c r="F422" s="9">
        <v>100000</v>
      </c>
      <c r="G422" s="8">
        <v>6164</v>
      </c>
      <c r="H422" s="4">
        <f t="shared" si="387"/>
        <v>0</v>
      </c>
      <c r="I422" s="4">
        <f t="shared" si="388"/>
        <v>0</v>
      </c>
      <c r="J422" s="4">
        <f t="shared" si="389"/>
        <v>0</v>
      </c>
      <c r="K422" s="4">
        <f t="shared" si="390"/>
        <v>0</v>
      </c>
      <c r="L422" s="4">
        <f t="shared" si="391"/>
        <v>6164</v>
      </c>
      <c r="M422" s="4">
        <f t="shared" si="392"/>
        <v>0</v>
      </c>
      <c r="N422" s="4">
        <f t="shared" si="393"/>
        <v>6164</v>
      </c>
      <c r="O422" s="5">
        <f t="shared" si="394"/>
        <v>103</v>
      </c>
      <c r="P422" s="6" t="str">
        <f t="shared" si="395"/>
        <v>91 To 120 Days</v>
      </c>
      <c r="Q422" s="7">
        <v>42855</v>
      </c>
      <c r="R422" s="6" t="s">
        <v>2178</v>
      </c>
      <c r="V422" s="1" t="s">
        <v>13</v>
      </c>
      <c r="Y422" s="1" t="str">
        <f>"419164728"</f>
        <v>419164728</v>
      </c>
    </row>
    <row r="423" spans="1:25" x14ac:dyDescent="0.2">
      <c r="A423" s="9" t="s">
        <v>1636</v>
      </c>
      <c r="B423" s="10">
        <v>42828</v>
      </c>
      <c r="C423" s="9" t="s">
        <v>1637</v>
      </c>
      <c r="D423" s="9" t="s">
        <v>565</v>
      </c>
      <c r="E423" s="9" t="s">
        <v>2190</v>
      </c>
      <c r="F423" s="9">
        <v>500000</v>
      </c>
      <c r="G423" s="8">
        <v>6208</v>
      </c>
      <c r="H423" s="4">
        <f t="shared" ref="H423:H447" si="396">IF(O423&lt;=30,G423,0)</f>
        <v>6208</v>
      </c>
      <c r="I423" s="4">
        <f t="shared" ref="I423:I447" si="397">IF(AND(O423&gt;30,O423&lt;=45),G423,0)</f>
        <v>0</v>
      </c>
      <c r="J423" s="4">
        <f t="shared" ref="J423:J447" si="398">IF(AND(O423&gt;45,O423&lt;=60),G423,0)</f>
        <v>0</v>
      </c>
      <c r="K423" s="4">
        <f t="shared" ref="K423:K447" si="399">IF(AND(O423&gt;60,O423&lt;=90),G423,0)</f>
        <v>0</v>
      </c>
      <c r="L423" s="4">
        <f t="shared" ref="L423:L447" si="400">IF(AND(O423&gt;90,O423&lt;=120),G423,0)</f>
        <v>0</v>
      </c>
      <c r="M423" s="4">
        <f t="shared" ref="M423:M447" si="401">IF(O423&gt;120,G423,0)</f>
        <v>0</v>
      </c>
      <c r="N423" s="4">
        <f t="shared" ref="N423:N447" si="402">IF(O423&gt;60,G423,0)</f>
        <v>0</v>
      </c>
      <c r="O423" s="5">
        <f t="shared" ref="O423:O447" si="403">Q423-B423</f>
        <v>27</v>
      </c>
      <c r="P423" s="6" t="str">
        <f t="shared" ref="P423:P447" si="404">IF(AND(O423&lt;=30),"30 Days",IF(AND(O423&gt;30,O423&lt;=45),"31 TO 45 Days",IF(AND(O423&gt;45,O423&lt;=60),"46 To 60 Days",IF(AND(O423&gt;60,O423&lt;=90),"61 To 90 Days",IF(AND(O423&gt;90,O423&lt;=120),"91 To 120 Days",IF(AND(O423&gt;120),"Plus120Days",))))))</f>
        <v>30 Days</v>
      </c>
      <c r="Q423" s="7">
        <v>42855</v>
      </c>
      <c r="R423" s="6" t="s">
        <v>2178</v>
      </c>
      <c r="Y423" s="1" t="str">
        <f>"4400190199"</f>
        <v>4400190199</v>
      </c>
    </row>
    <row r="424" spans="1:25" x14ac:dyDescent="0.2">
      <c r="A424" s="9" t="s">
        <v>1576</v>
      </c>
      <c r="B424" s="10">
        <v>42826</v>
      </c>
      <c r="C424" s="9" t="s">
        <v>1577</v>
      </c>
      <c r="D424" s="9" t="s">
        <v>565</v>
      </c>
      <c r="E424" s="9" t="s">
        <v>2190</v>
      </c>
      <c r="F424" s="9">
        <v>500000</v>
      </c>
      <c r="G424" s="8">
        <v>6216</v>
      </c>
      <c r="H424" s="4">
        <f t="shared" si="396"/>
        <v>6216</v>
      </c>
      <c r="I424" s="4">
        <f t="shared" si="397"/>
        <v>0</v>
      </c>
      <c r="J424" s="4">
        <f t="shared" si="398"/>
        <v>0</v>
      </c>
      <c r="K424" s="4">
        <f t="shared" si="399"/>
        <v>0</v>
      </c>
      <c r="L424" s="4">
        <f t="shared" si="400"/>
        <v>0</v>
      </c>
      <c r="M424" s="4">
        <f t="shared" si="401"/>
        <v>0</v>
      </c>
      <c r="N424" s="4">
        <f t="shared" si="402"/>
        <v>0</v>
      </c>
      <c r="O424" s="5">
        <f t="shared" si="403"/>
        <v>29</v>
      </c>
      <c r="P424" s="6" t="str">
        <f t="shared" si="404"/>
        <v>30 Days</v>
      </c>
      <c r="Q424" s="7">
        <v>42855</v>
      </c>
      <c r="R424" s="6" t="s">
        <v>2178</v>
      </c>
      <c r="Y424" s="1" t="str">
        <f>"4400190060"</f>
        <v>4400190060</v>
      </c>
    </row>
    <row r="425" spans="1:25" x14ac:dyDescent="0.2">
      <c r="A425" s="9" t="s">
        <v>327</v>
      </c>
      <c r="B425" s="10">
        <v>42751</v>
      </c>
      <c r="C425" s="9" t="s">
        <v>185</v>
      </c>
      <c r="D425" s="9" t="s">
        <v>29</v>
      </c>
      <c r="E425" s="9" t="s">
        <v>2190</v>
      </c>
      <c r="F425" s="9">
        <v>1000000</v>
      </c>
      <c r="G425" s="8">
        <v>6216</v>
      </c>
      <c r="H425" s="4">
        <f t="shared" si="396"/>
        <v>0</v>
      </c>
      <c r="I425" s="4">
        <f t="shared" si="397"/>
        <v>0</v>
      </c>
      <c r="J425" s="4">
        <f t="shared" si="398"/>
        <v>0</v>
      </c>
      <c r="K425" s="4">
        <f t="shared" si="399"/>
        <v>0</v>
      </c>
      <c r="L425" s="4">
        <f t="shared" si="400"/>
        <v>6216</v>
      </c>
      <c r="M425" s="4">
        <f t="shared" si="401"/>
        <v>0</v>
      </c>
      <c r="N425" s="4">
        <f t="shared" si="402"/>
        <v>6216</v>
      </c>
      <c r="O425" s="5">
        <f t="shared" si="403"/>
        <v>104</v>
      </c>
      <c r="P425" s="6" t="str">
        <f t="shared" si="404"/>
        <v>91 To 120 Days</v>
      </c>
      <c r="Q425" s="7">
        <v>42855</v>
      </c>
      <c r="R425" s="6" t="s">
        <v>2178</v>
      </c>
      <c r="Y425" s="1" t="str">
        <f>"4912837141"</f>
        <v>4912837141</v>
      </c>
    </row>
    <row r="426" spans="1:25" x14ac:dyDescent="0.2">
      <c r="A426" s="9" t="s">
        <v>155</v>
      </c>
      <c r="B426" s="10">
        <v>42649</v>
      </c>
      <c r="C426" s="9" t="s">
        <v>156</v>
      </c>
      <c r="D426" s="9" t="s">
        <v>133</v>
      </c>
      <c r="E426" s="9" t="s">
        <v>2190</v>
      </c>
      <c r="F426" s="9">
        <v>20000000</v>
      </c>
      <c r="G426" s="8">
        <v>6220</v>
      </c>
      <c r="H426" s="4">
        <f t="shared" si="396"/>
        <v>0</v>
      </c>
      <c r="I426" s="4">
        <f t="shared" si="397"/>
        <v>0</v>
      </c>
      <c r="J426" s="4">
        <f t="shared" si="398"/>
        <v>0</v>
      </c>
      <c r="K426" s="4">
        <f t="shared" si="399"/>
        <v>0</v>
      </c>
      <c r="L426" s="4">
        <f t="shared" si="400"/>
        <v>0</v>
      </c>
      <c r="M426" s="4">
        <f t="shared" si="401"/>
        <v>6220</v>
      </c>
      <c r="N426" s="4">
        <f t="shared" si="402"/>
        <v>6220</v>
      </c>
      <c r="O426" s="5">
        <f t="shared" si="403"/>
        <v>206</v>
      </c>
      <c r="P426" s="6" t="str">
        <f t="shared" si="404"/>
        <v>Plus120Days</v>
      </c>
      <c r="Q426" s="7">
        <v>42855</v>
      </c>
      <c r="R426" s="6" t="s">
        <v>2178</v>
      </c>
      <c r="V426" s="1" t="s">
        <v>13</v>
      </c>
      <c r="Y426" s="1" t="str">
        <f>"4750377622"</f>
        <v>4750377622</v>
      </c>
    </row>
    <row r="427" spans="1:25" x14ac:dyDescent="0.2">
      <c r="A427" s="9" t="s">
        <v>1493</v>
      </c>
      <c r="B427" s="10">
        <v>42824</v>
      </c>
      <c r="C427" s="9" t="s">
        <v>1494</v>
      </c>
      <c r="D427" s="9" t="s">
        <v>144</v>
      </c>
      <c r="E427" s="9" t="s">
        <v>2190</v>
      </c>
      <c r="F427" s="9">
        <v>2300000</v>
      </c>
      <c r="G427" s="8">
        <v>6227</v>
      </c>
      <c r="H427" s="4">
        <f t="shared" si="396"/>
        <v>0</v>
      </c>
      <c r="I427" s="4">
        <f t="shared" si="397"/>
        <v>6227</v>
      </c>
      <c r="J427" s="4">
        <f t="shared" si="398"/>
        <v>0</v>
      </c>
      <c r="K427" s="4">
        <f t="shared" si="399"/>
        <v>0</v>
      </c>
      <c r="L427" s="4">
        <f t="shared" si="400"/>
        <v>0</v>
      </c>
      <c r="M427" s="4">
        <f t="shared" si="401"/>
        <v>0</v>
      </c>
      <c r="N427" s="4">
        <f t="shared" si="402"/>
        <v>0</v>
      </c>
      <c r="O427" s="5">
        <f t="shared" si="403"/>
        <v>31</v>
      </c>
      <c r="P427" s="6" t="str">
        <f t="shared" si="404"/>
        <v>31 TO 45 Days</v>
      </c>
      <c r="Q427" s="7">
        <v>42855</v>
      </c>
      <c r="R427" s="6" t="s">
        <v>2178</v>
      </c>
      <c r="Y427" s="1" t="str">
        <f>"4912905573"</f>
        <v>4912905573</v>
      </c>
    </row>
    <row r="428" spans="1:25" x14ac:dyDescent="0.2">
      <c r="A428" s="9" t="s">
        <v>1203</v>
      </c>
      <c r="B428" s="10">
        <v>42816</v>
      </c>
      <c r="C428" s="9" t="s">
        <v>1204</v>
      </c>
      <c r="D428" s="9" t="s">
        <v>565</v>
      </c>
      <c r="E428" s="9" t="s">
        <v>2190</v>
      </c>
      <c r="F428" s="9">
        <v>500000</v>
      </c>
      <c r="G428" s="8">
        <v>6245</v>
      </c>
      <c r="H428" s="4">
        <f t="shared" si="396"/>
        <v>0</v>
      </c>
      <c r="I428" s="4">
        <f t="shared" si="397"/>
        <v>6245</v>
      </c>
      <c r="J428" s="4">
        <f t="shared" si="398"/>
        <v>0</v>
      </c>
      <c r="K428" s="4">
        <f t="shared" si="399"/>
        <v>0</v>
      </c>
      <c r="L428" s="4">
        <f t="shared" si="400"/>
        <v>0</v>
      </c>
      <c r="M428" s="4">
        <f t="shared" si="401"/>
        <v>0</v>
      </c>
      <c r="N428" s="4">
        <f t="shared" si="402"/>
        <v>0</v>
      </c>
      <c r="O428" s="5">
        <f t="shared" si="403"/>
        <v>39</v>
      </c>
      <c r="P428" s="6" t="str">
        <f t="shared" si="404"/>
        <v>31 TO 45 Days</v>
      </c>
      <c r="Q428" s="7">
        <v>42855</v>
      </c>
      <c r="R428" s="6" t="s">
        <v>2178</v>
      </c>
      <c r="Y428" s="1" t="str">
        <f>"4400189516"</f>
        <v>4400189516</v>
      </c>
    </row>
    <row r="429" spans="1:25" x14ac:dyDescent="0.2">
      <c r="A429" s="9" t="s">
        <v>1205</v>
      </c>
      <c r="B429" s="10">
        <v>42816</v>
      </c>
      <c r="C429" s="9" t="s">
        <v>1206</v>
      </c>
      <c r="D429" s="9" t="s">
        <v>565</v>
      </c>
      <c r="E429" s="9" t="s">
        <v>2190</v>
      </c>
      <c r="F429" s="9">
        <v>500000</v>
      </c>
      <c r="G429" s="8">
        <v>6245</v>
      </c>
      <c r="H429" s="4">
        <f t="shared" si="396"/>
        <v>0</v>
      </c>
      <c r="I429" s="4">
        <f t="shared" si="397"/>
        <v>6245</v>
      </c>
      <c r="J429" s="4">
        <f t="shared" si="398"/>
        <v>0</v>
      </c>
      <c r="K429" s="4">
        <f t="shared" si="399"/>
        <v>0</v>
      </c>
      <c r="L429" s="4">
        <f t="shared" si="400"/>
        <v>0</v>
      </c>
      <c r="M429" s="4">
        <f t="shared" si="401"/>
        <v>0</v>
      </c>
      <c r="N429" s="4">
        <f t="shared" si="402"/>
        <v>0</v>
      </c>
      <c r="O429" s="5">
        <f t="shared" si="403"/>
        <v>39</v>
      </c>
      <c r="P429" s="6" t="str">
        <f t="shared" si="404"/>
        <v>31 TO 45 Days</v>
      </c>
      <c r="Q429" s="7">
        <v>42855</v>
      </c>
      <c r="R429" s="6" t="s">
        <v>2178</v>
      </c>
      <c r="Y429" s="1" t="str">
        <f>"4400189573"</f>
        <v>4400189573</v>
      </c>
    </row>
    <row r="430" spans="1:25" x14ac:dyDescent="0.2">
      <c r="A430" s="9" t="s">
        <v>1338</v>
      </c>
      <c r="B430" s="10">
        <v>42821</v>
      </c>
      <c r="C430" s="9" t="s">
        <v>1339</v>
      </c>
      <c r="D430" s="9" t="s">
        <v>565</v>
      </c>
      <c r="E430" s="9" t="s">
        <v>2190</v>
      </c>
      <c r="F430" s="9">
        <v>500000</v>
      </c>
      <c r="G430" s="8">
        <v>6245</v>
      </c>
      <c r="H430" s="4">
        <f t="shared" si="396"/>
        <v>0</v>
      </c>
      <c r="I430" s="4">
        <f t="shared" si="397"/>
        <v>6245</v>
      </c>
      <c r="J430" s="4">
        <f t="shared" si="398"/>
        <v>0</v>
      </c>
      <c r="K430" s="4">
        <f t="shared" si="399"/>
        <v>0</v>
      </c>
      <c r="L430" s="4">
        <f t="shared" si="400"/>
        <v>0</v>
      </c>
      <c r="M430" s="4">
        <f t="shared" si="401"/>
        <v>0</v>
      </c>
      <c r="N430" s="4">
        <f t="shared" si="402"/>
        <v>0</v>
      </c>
      <c r="O430" s="5">
        <f t="shared" si="403"/>
        <v>34</v>
      </c>
      <c r="P430" s="6" t="str">
        <f t="shared" si="404"/>
        <v>31 TO 45 Days</v>
      </c>
      <c r="Q430" s="7">
        <v>42855</v>
      </c>
      <c r="R430" s="6" t="s">
        <v>2178</v>
      </c>
      <c r="Y430" s="1" t="str">
        <f>"4400189783"</f>
        <v>4400189783</v>
      </c>
    </row>
    <row r="431" spans="1:25" x14ac:dyDescent="0.2">
      <c r="A431" s="9" t="s">
        <v>448</v>
      </c>
      <c r="B431" s="10">
        <v>42768</v>
      </c>
      <c r="C431" s="9" t="s">
        <v>449</v>
      </c>
      <c r="D431" s="9" t="s">
        <v>140</v>
      </c>
      <c r="E431" s="9" t="s">
        <v>2190</v>
      </c>
      <c r="F431" s="9">
        <v>0</v>
      </c>
      <c r="G431" s="8">
        <v>6259</v>
      </c>
      <c r="H431" s="4">
        <f t="shared" si="396"/>
        <v>0</v>
      </c>
      <c r="I431" s="4">
        <f t="shared" si="397"/>
        <v>0</v>
      </c>
      <c r="J431" s="4">
        <f t="shared" si="398"/>
        <v>0</v>
      </c>
      <c r="K431" s="4">
        <f t="shared" si="399"/>
        <v>6259</v>
      </c>
      <c r="L431" s="4">
        <f t="shared" si="400"/>
        <v>0</v>
      </c>
      <c r="M431" s="4">
        <f t="shared" si="401"/>
        <v>0</v>
      </c>
      <c r="N431" s="4">
        <f t="shared" si="402"/>
        <v>6259</v>
      </c>
      <c r="O431" s="5">
        <f t="shared" si="403"/>
        <v>87</v>
      </c>
      <c r="P431" s="6" t="str">
        <f t="shared" si="404"/>
        <v>61 To 90 Days</v>
      </c>
      <c r="Q431" s="7">
        <v>42855</v>
      </c>
      <c r="R431" s="6" t="s">
        <v>2178</v>
      </c>
      <c r="Y431" s="1" t="str">
        <f>"418546492"</f>
        <v>418546492</v>
      </c>
    </row>
    <row r="432" spans="1:25" x14ac:dyDescent="0.2">
      <c r="A432" s="9" t="s">
        <v>571</v>
      </c>
      <c r="B432" s="10">
        <v>42780</v>
      </c>
      <c r="C432" s="9" t="s">
        <v>572</v>
      </c>
      <c r="D432" s="9" t="s">
        <v>20</v>
      </c>
      <c r="E432" s="9" t="s">
        <v>2190</v>
      </c>
      <c r="F432" s="9">
        <v>1000000</v>
      </c>
      <c r="G432" s="8">
        <v>6260</v>
      </c>
      <c r="H432" s="4">
        <f t="shared" si="396"/>
        <v>0</v>
      </c>
      <c r="I432" s="4">
        <f t="shared" si="397"/>
        <v>0</v>
      </c>
      <c r="J432" s="4">
        <f t="shared" si="398"/>
        <v>0</v>
      </c>
      <c r="K432" s="4">
        <f t="shared" si="399"/>
        <v>6260</v>
      </c>
      <c r="L432" s="4">
        <f t="shared" si="400"/>
        <v>0</v>
      </c>
      <c r="M432" s="4">
        <f t="shared" si="401"/>
        <v>0</v>
      </c>
      <c r="N432" s="4">
        <f t="shared" si="402"/>
        <v>6260</v>
      </c>
      <c r="O432" s="5">
        <f t="shared" si="403"/>
        <v>75</v>
      </c>
      <c r="P432" s="6" t="str">
        <f t="shared" si="404"/>
        <v>61 To 90 Days</v>
      </c>
      <c r="Q432" s="7">
        <v>42855</v>
      </c>
      <c r="R432" s="6" t="s">
        <v>2178</v>
      </c>
      <c r="Y432" s="1" t="str">
        <f>"4812070539"</f>
        <v>4812070539</v>
      </c>
    </row>
    <row r="433" spans="1:25" x14ac:dyDescent="0.2">
      <c r="A433" s="9" t="s">
        <v>1485</v>
      </c>
      <c r="B433" s="10">
        <v>42824</v>
      </c>
      <c r="C433" s="9" t="s">
        <v>1486</v>
      </c>
      <c r="D433" s="9" t="s">
        <v>144</v>
      </c>
      <c r="E433" s="9" t="s">
        <v>2190</v>
      </c>
      <c r="F433" s="9">
        <v>2300000</v>
      </c>
      <c r="G433" s="8">
        <v>6269</v>
      </c>
      <c r="H433" s="4">
        <f t="shared" si="396"/>
        <v>0</v>
      </c>
      <c r="I433" s="4">
        <f t="shared" si="397"/>
        <v>6269</v>
      </c>
      <c r="J433" s="4">
        <f t="shared" si="398"/>
        <v>0</v>
      </c>
      <c r="K433" s="4">
        <f t="shared" si="399"/>
        <v>0</v>
      </c>
      <c r="L433" s="4">
        <f t="shared" si="400"/>
        <v>0</v>
      </c>
      <c r="M433" s="4">
        <f t="shared" si="401"/>
        <v>0</v>
      </c>
      <c r="N433" s="4">
        <f t="shared" si="402"/>
        <v>0</v>
      </c>
      <c r="O433" s="5">
        <f t="shared" si="403"/>
        <v>31</v>
      </c>
      <c r="P433" s="6" t="str">
        <f t="shared" si="404"/>
        <v>31 TO 45 Days</v>
      </c>
      <c r="Q433" s="7">
        <v>42855</v>
      </c>
      <c r="R433" s="6" t="s">
        <v>2178</v>
      </c>
      <c r="Y433" s="1" t="str">
        <f>"4912903753"</f>
        <v>4912903753</v>
      </c>
    </row>
    <row r="434" spans="1:25" x14ac:dyDescent="0.2">
      <c r="A434" s="9" t="s">
        <v>729</v>
      </c>
      <c r="B434" s="10">
        <v>42791</v>
      </c>
      <c r="C434" s="9" t="s">
        <v>730</v>
      </c>
      <c r="D434" s="9" t="s">
        <v>133</v>
      </c>
      <c r="E434" s="9" t="s">
        <v>2190</v>
      </c>
      <c r="F434" s="9">
        <v>20000000</v>
      </c>
      <c r="G434" s="8">
        <v>6299</v>
      </c>
      <c r="H434" s="4">
        <f t="shared" si="396"/>
        <v>0</v>
      </c>
      <c r="I434" s="4">
        <f t="shared" si="397"/>
        <v>0</v>
      </c>
      <c r="J434" s="4">
        <f t="shared" si="398"/>
        <v>0</v>
      </c>
      <c r="K434" s="4">
        <f t="shared" si="399"/>
        <v>6299</v>
      </c>
      <c r="L434" s="4">
        <f t="shared" si="400"/>
        <v>0</v>
      </c>
      <c r="M434" s="4">
        <f t="shared" si="401"/>
        <v>0</v>
      </c>
      <c r="N434" s="4">
        <f t="shared" si="402"/>
        <v>6299</v>
      </c>
      <c r="O434" s="5">
        <f t="shared" si="403"/>
        <v>64</v>
      </c>
      <c r="P434" s="6" t="str">
        <f t="shared" si="404"/>
        <v>61 To 90 Days</v>
      </c>
      <c r="Q434" s="7">
        <v>42855</v>
      </c>
      <c r="R434" s="6" t="s">
        <v>2178</v>
      </c>
      <c r="V434" s="1" t="s">
        <v>13</v>
      </c>
      <c r="W434" s="2">
        <v>42796</v>
      </c>
      <c r="X434" s="1" t="s">
        <v>14</v>
      </c>
      <c r="Y434" s="1" t="str">
        <f>"4750386680"</f>
        <v>4750386680</v>
      </c>
    </row>
    <row r="435" spans="1:25" x14ac:dyDescent="0.2">
      <c r="A435" s="9" t="s">
        <v>615</v>
      </c>
      <c r="B435" s="10">
        <v>42784</v>
      </c>
      <c r="C435" s="9" t="s">
        <v>616</v>
      </c>
      <c r="D435" s="9" t="s">
        <v>148</v>
      </c>
      <c r="E435" s="9" t="s">
        <v>2190</v>
      </c>
      <c r="F435" s="9">
        <v>500000</v>
      </c>
      <c r="G435" s="8">
        <v>6315</v>
      </c>
      <c r="H435" s="4">
        <f t="shared" si="396"/>
        <v>0</v>
      </c>
      <c r="I435" s="4">
        <f t="shared" si="397"/>
        <v>0</v>
      </c>
      <c r="J435" s="4">
        <f t="shared" si="398"/>
        <v>0</v>
      </c>
      <c r="K435" s="4">
        <f t="shared" si="399"/>
        <v>6315</v>
      </c>
      <c r="L435" s="4">
        <f t="shared" si="400"/>
        <v>0</v>
      </c>
      <c r="M435" s="4">
        <f t="shared" si="401"/>
        <v>0</v>
      </c>
      <c r="N435" s="4">
        <f t="shared" si="402"/>
        <v>6315</v>
      </c>
      <c r="O435" s="5">
        <f t="shared" si="403"/>
        <v>71</v>
      </c>
      <c r="P435" s="6" t="str">
        <f t="shared" si="404"/>
        <v>61 To 90 Days</v>
      </c>
      <c r="Q435" s="7">
        <v>42855</v>
      </c>
      <c r="R435" s="6" t="s">
        <v>2178</v>
      </c>
      <c r="Y435" s="1" t="str">
        <f>"4540130158"</f>
        <v>4540130158</v>
      </c>
    </row>
    <row r="436" spans="1:25" x14ac:dyDescent="0.2">
      <c r="A436" s="9" t="s">
        <v>1880</v>
      </c>
      <c r="B436" s="10">
        <v>42835</v>
      </c>
      <c r="C436" s="9" t="s">
        <v>1881</v>
      </c>
      <c r="D436" s="9" t="s">
        <v>161</v>
      </c>
      <c r="E436" s="9" t="s">
        <v>2190</v>
      </c>
      <c r="F436" s="9">
        <v>0</v>
      </c>
      <c r="G436" s="8">
        <v>6324</v>
      </c>
      <c r="H436" s="4">
        <f t="shared" si="396"/>
        <v>6324</v>
      </c>
      <c r="I436" s="4">
        <f t="shared" si="397"/>
        <v>0</v>
      </c>
      <c r="J436" s="4">
        <f t="shared" si="398"/>
        <v>0</v>
      </c>
      <c r="K436" s="4">
        <f t="shared" si="399"/>
        <v>0</v>
      </c>
      <c r="L436" s="4">
        <f t="shared" si="400"/>
        <v>0</v>
      </c>
      <c r="M436" s="4">
        <f t="shared" si="401"/>
        <v>0</v>
      </c>
      <c r="N436" s="4">
        <f t="shared" si="402"/>
        <v>0</v>
      </c>
      <c r="O436" s="5">
        <f t="shared" si="403"/>
        <v>20</v>
      </c>
      <c r="P436" s="6" t="str">
        <f t="shared" si="404"/>
        <v>30 Days</v>
      </c>
      <c r="Q436" s="7">
        <v>42855</v>
      </c>
      <c r="R436" s="6" t="str">
        <f>VLOOKUP(A436:A4661,[1]BOM_INV_OPERATOR_DETAILS_OUTPUT!$A$2:$D$1233,4,FALSE)</f>
        <v>AI</v>
      </c>
      <c r="Y436" s="1" t="str">
        <f>"4711240442"</f>
        <v>4711240442</v>
      </c>
    </row>
    <row r="437" spans="1:25" x14ac:dyDescent="0.2">
      <c r="A437" s="9" t="s">
        <v>963</v>
      </c>
      <c r="B437" s="10">
        <v>42803</v>
      </c>
      <c r="C437" s="9" t="s">
        <v>964</v>
      </c>
      <c r="D437" s="9" t="s">
        <v>45</v>
      </c>
      <c r="E437" s="9" t="s">
        <v>2190</v>
      </c>
      <c r="F437" s="9">
        <v>0</v>
      </c>
      <c r="G437" s="8">
        <v>6343</v>
      </c>
      <c r="H437" s="4">
        <f t="shared" si="396"/>
        <v>0</v>
      </c>
      <c r="I437" s="4">
        <f t="shared" si="397"/>
        <v>0</v>
      </c>
      <c r="J437" s="4">
        <f t="shared" si="398"/>
        <v>6343</v>
      </c>
      <c r="K437" s="4">
        <f t="shared" si="399"/>
        <v>0</v>
      </c>
      <c r="L437" s="4">
        <f t="shared" si="400"/>
        <v>0</v>
      </c>
      <c r="M437" s="4">
        <f t="shared" si="401"/>
        <v>0</v>
      </c>
      <c r="N437" s="4">
        <f t="shared" si="402"/>
        <v>0</v>
      </c>
      <c r="O437" s="5">
        <f t="shared" si="403"/>
        <v>52</v>
      </c>
      <c r="P437" s="6" t="str">
        <f t="shared" si="404"/>
        <v>46 To 60 Days</v>
      </c>
      <c r="Q437" s="7">
        <v>42855</v>
      </c>
      <c r="R437" s="6" t="s">
        <v>2178</v>
      </c>
      <c r="Y437" s="1" t="str">
        <f>"4560217949"</f>
        <v>4560217949</v>
      </c>
    </row>
    <row r="438" spans="1:25" x14ac:dyDescent="0.2">
      <c r="A438" s="9" t="s">
        <v>1134</v>
      </c>
      <c r="B438" s="10">
        <v>42814</v>
      </c>
      <c r="C438" s="9" t="s">
        <v>1135</v>
      </c>
      <c r="D438" s="9" t="s">
        <v>270</v>
      </c>
      <c r="E438" s="9" t="s">
        <v>2190</v>
      </c>
      <c r="F438" s="9">
        <v>0</v>
      </c>
      <c r="G438" s="8">
        <v>6347</v>
      </c>
      <c r="H438" s="4">
        <f t="shared" si="396"/>
        <v>0</v>
      </c>
      <c r="I438" s="4">
        <f t="shared" si="397"/>
        <v>6347</v>
      </c>
      <c r="J438" s="4">
        <f t="shared" si="398"/>
        <v>0</v>
      </c>
      <c r="K438" s="4">
        <f t="shared" si="399"/>
        <v>0</v>
      </c>
      <c r="L438" s="4">
        <f t="shared" si="400"/>
        <v>0</v>
      </c>
      <c r="M438" s="4">
        <f t="shared" si="401"/>
        <v>0</v>
      </c>
      <c r="N438" s="4">
        <f t="shared" si="402"/>
        <v>0</v>
      </c>
      <c r="O438" s="5">
        <f t="shared" si="403"/>
        <v>41</v>
      </c>
      <c r="P438" s="6" t="str">
        <f t="shared" si="404"/>
        <v>31 TO 45 Days</v>
      </c>
      <c r="Q438" s="7">
        <v>42855</v>
      </c>
      <c r="R438" s="6" t="s">
        <v>2178</v>
      </c>
      <c r="Y438" s="1" t="str">
        <f>"4570270036"</f>
        <v>4570270036</v>
      </c>
    </row>
    <row r="439" spans="1:25" x14ac:dyDescent="0.2">
      <c r="A439" s="9" t="s">
        <v>522</v>
      </c>
      <c r="B439" s="10">
        <v>42775</v>
      </c>
      <c r="C439" s="9" t="s">
        <v>523</v>
      </c>
      <c r="D439" s="9" t="s">
        <v>162</v>
      </c>
      <c r="E439" s="9" t="s">
        <v>2190</v>
      </c>
      <c r="F439" s="9">
        <v>300000</v>
      </c>
      <c r="G439" s="8">
        <v>6369</v>
      </c>
      <c r="H439" s="4">
        <f t="shared" si="396"/>
        <v>0</v>
      </c>
      <c r="I439" s="4">
        <f t="shared" si="397"/>
        <v>0</v>
      </c>
      <c r="J439" s="4">
        <f t="shared" si="398"/>
        <v>0</v>
      </c>
      <c r="K439" s="4">
        <f t="shared" si="399"/>
        <v>6369</v>
      </c>
      <c r="L439" s="4">
        <f t="shared" si="400"/>
        <v>0</v>
      </c>
      <c r="M439" s="4">
        <f t="shared" si="401"/>
        <v>0</v>
      </c>
      <c r="N439" s="4">
        <f t="shared" si="402"/>
        <v>6369</v>
      </c>
      <c r="O439" s="5">
        <f t="shared" si="403"/>
        <v>80</v>
      </c>
      <c r="P439" s="6" t="str">
        <f t="shared" si="404"/>
        <v>61 To 90 Days</v>
      </c>
      <c r="Q439" s="7">
        <v>42855</v>
      </c>
      <c r="R439" s="6" t="s">
        <v>2178</v>
      </c>
      <c r="Y439" s="1" t="str">
        <f>"418439286"</f>
        <v>418439286</v>
      </c>
    </row>
    <row r="440" spans="1:25" x14ac:dyDescent="0.2">
      <c r="A440" s="9" t="s">
        <v>1742</v>
      </c>
      <c r="B440" s="10">
        <v>42831</v>
      </c>
      <c r="C440" s="9" t="s">
        <v>1743</v>
      </c>
      <c r="D440" s="9" t="s">
        <v>1737</v>
      </c>
      <c r="E440" s="9" t="s">
        <v>2190</v>
      </c>
      <c r="F440" s="9">
        <v>0</v>
      </c>
      <c r="G440" s="8">
        <v>6371</v>
      </c>
      <c r="H440" s="4">
        <f t="shared" si="396"/>
        <v>6371</v>
      </c>
      <c r="I440" s="4">
        <f t="shared" si="397"/>
        <v>0</v>
      </c>
      <c r="J440" s="4">
        <f t="shared" si="398"/>
        <v>0</v>
      </c>
      <c r="K440" s="4">
        <f t="shared" si="399"/>
        <v>0</v>
      </c>
      <c r="L440" s="4">
        <f t="shared" si="400"/>
        <v>0</v>
      </c>
      <c r="M440" s="4">
        <f t="shared" si="401"/>
        <v>0</v>
      </c>
      <c r="N440" s="4">
        <f t="shared" si="402"/>
        <v>0</v>
      </c>
      <c r="O440" s="5">
        <f t="shared" si="403"/>
        <v>24</v>
      </c>
      <c r="P440" s="6" t="str">
        <f t="shared" si="404"/>
        <v>30 Days</v>
      </c>
      <c r="Q440" s="7">
        <v>42855</v>
      </c>
      <c r="R440" s="6" t="s">
        <v>2178</v>
      </c>
      <c r="Y440" s="1" t="str">
        <f>"417470466"</f>
        <v>417470466</v>
      </c>
    </row>
    <row r="441" spans="1:25" x14ac:dyDescent="0.2">
      <c r="A441" s="9" t="s">
        <v>2049</v>
      </c>
      <c r="B441" s="10">
        <v>42837</v>
      </c>
      <c r="C441" s="9" t="s">
        <v>2050</v>
      </c>
      <c r="D441" s="9" t="s">
        <v>2048</v>
      </c>
      <c r="E441" s="9" t="s">
        <v>2190</v>
      </c>
      <c r="F441" s="9">
        <v>0</v>
      </c>
      <c r="G441" s="8">
        <v>6371</v>
      </c>
      <c r="H441" s="4">
        <f t="shared" si="396"/>
        <v>6371</v>
      </c>
      <c r="I441" s="4">
        <f t="shared" si="397"/>
        <v>0</v>
      </c>
      <c r="J441" s="4">
        <f t="shared" si="398"/>
        <v>0</v>
      </c>
      <c r="K441" s="4">
        <f t="shared" si="399"/>
        <v>0</v>
      </c>
      <c r="L441" s="4">
        <f t="shared" si="400"/>
        <v>0</v>
      </c>
      <c r="M441" s="4">
        <f t="shared" si="401"/>
        <v>0</v>
      </c>
      <c r="N441" s="4">
        <f t="shared" si="402"/>
        <v>0</v>
      </c>
      <c r="O441" s="5">
        <f t="shared" si="403"/>
        <v>18</v>
      </c>
      <c r="P441" s="6" t="str">
        <f t="shared" si="404"/>
        <v>30 Days</v>
      </c>
      <c r="Q441" s="7">
        <v>42855</v>
      </c>
      <c r="R441" s="6" t="str">
        <f>VLOOKUP(A441:A4676,[1]BOM_INV_OPERATOR_DETAILS_OUTPUT!$A$2:$D$1233,4,FALSE)</f>
        <v>AI</v>
      </c>
      <c r="Y441" s="1" t="str">
        <f>"4052211031"</f>
        <v>4052211031</v>
      </c>
    </row>
    <row r="442" spans="1:25" x14ac:dyDescent="0.2">
      <c r="A442" s="9" t="s">
        <v>1127</v>
      </c>
      <c r="B442" s="10">
        <v>42814</v>
      </c>
      <c r="C442" s="9" t="s">
        <v>1128</v>
      </c>
      <c r="D442" s="9" t="s">
        <v>1126</v>
      </c>
      <c r="E442" s="9" t="s">
        <v>2190</v>
      </c>
      <c r="F442" s="9">
        <v>0</v>
      </c>
      <c r="G442" s="8">
        <v>6371</v>
      </c>
      <c r="H442" s="4">
        <f t="shared" si="396"/>
        <v>0</v>
      </c>
      <c r="I442" s="4">
        <f t="shared" si="397"/>
        <v>6371</v>
      </c>
      <c r="J442" s="4">
        <f t="shared" si="398"/>
        <v>0</v>
      </c>
      <c r="K442" s="4">
        <f t="shared" si="399"/>
        <v>0</v>
      </c>
      <c r="L442" s="4">
        <f t="shared" si="400"/>
        <v>0</v>
      </c>
      <c r="M442" s="4">
        <f t="shared" si="401"/>
        <v>0</v>
      </c>
      <c r="N442" s="4">
        <f t="shared" si="402"/>
        <v>0</v>
      </c>
      <c r="O442" s="5">
        <f t="shared" si="403"/>
        <v>41</v>
      </c>
      <c r="P442" s="6" t="str">
        <f t="shared" si="404"/>
        <v>31 TO 45 Days</v>
      </c>
      <c r="Q442" s="7">
        <v>42855</v>
      </c>
      <c r="R442" s="6" t="s">
        <v>2178</v>
      </c>
      <c r="Y442" s="1" t="s">
        <v>1129</v>
      </c>
    </row>
    <row r="443" spans="1:25" x14ac:dyDescent="0.2">
      <c r="A443" s="9" t="s">
        <v>1553</v>
      </c>
      <c r="B443" s="10">
        <v>42825</v>
      </c>
      <c r="C443" s="9" t="s">
        <v>1554</v>
      </c>
      <c r="D443" s="9" t="s">
        <v>1126</v>
      </c>
      <c r="E443" s="9" t="s">
        <v>2190</v>
      </c>
      <c r="F443" s="9">
        <v>0</v>
      </c>
      <c r="G443" s="8">
        <v>6371</v>
      </c>
      <c r="H443" s="4">
        <f t="shared" si="396"/>
        <v>6371</v>
      </c>
      <c r="I443" s="4">
        <f t="shared" si="397"/>
        <v>0</v>
      </c>
      <c r="J443" s="4">
        <f t="shared" si="398"/>
        <v>0</v>
      </c>
      <c r="K443" s="4">
        <f t="shared" si="399"/>
        <v>0</v>
      </c>
      <c r="L443" s="4">
        <f t="shared" si="400"/>
        <v>0</v>
      </c>
      <c r="M443" s="4">
        <f t="shared" si="401"/>
        <v>0</v>
      </c>
      <c r="N443" s="4">
        <f t="shared" si="402"/>
        <v>0</v>
      </c>
      <c r="O443" s="5">
        <f t="shared" si="403"/>
        <v>30</v>
      </c>
      <c r="P443" s="6" t="str">
        <f t="shared" si="404"/>
        <v>30 Days</v>
      </c>
      <c r="Q443" s="7">
        <v>42855</v>
      </c>
      <c r="R443" s="6" t="s">
        <v>2178</v>
      </c>
      <c r="Y443" s="1" t="s">
        <v>1555</v>
      </c>
    </row>
    <row r="444" spans="1:25" x14ac:dyDescent="0.2">
      <c r="A444" s="9" t="s">
        <v>1116</v>
      </c>
      <c r="B444" s="10">
        <v>42814</v>
      </c>
      <c r="C444" s="9" t="s">
        <v>1117</v>
      </c>
      <c r="D444" s="9" t="s">
        <v>1115</v>
      </c>
      <c r="E444" s="9" t="s">
        <v>2190</v>
      </c>
      <c r="F444" s="9" t="e">
        <v>#N/A</v>
      </c>
      <c r="G444" s="8">
        <v>6371</v>
      </c>
      <c r="H444" s="4">
        <f t="shared" si="396"/>
        <v>0</v>
      </c>
      <c r="I444" s="4">
        <f t="shared" si="397"/>
        <v>6371</v>
      </c>
      <c r="J444" s="4">
        <f t="shared" si="398"/>
        <v>0</v>
      </c>
      <c r="K444" s="4">
        <f t="shared" si="399"/>
        <v>0</v>
      </c>
      <c r="L444" s="4">
        <f t="shared" si="400"/>
        <v>0</v>
      </c>
      <c r="M444" s="4">
        <f t="shared" si="401"/>
        <v>0</v>
      </c>
      <c r="N444" s="4">
        <f t="shared" si="402"/>
        <v>0</v>
      </c>
      <c r="O444" s="5">
        <f t="shared" si="403"/>
        <v>41</v>
      </c>
      <c r="P444" s="6" t="str">
        <f t="shared" si="404"/>
        <v>31 TO 45 Days</v>
      </c>
      <c r="Q444" s="7">
        <v>42855</v>
      </c>
      <c r="R444" s="6" t="s">
        <v>2178</v>
      </c>
      <c r="Y444" s="1" t="str">
        <f>"4711232344"</f>
        <v>4711232344</v>
      </c>
    </row>
    <row r="445" spans="1:25" x14ac:dyDescent="0.2">
      <c r="A445" s="9" t="s">
        <v>1735</v>
      </c>
      <c r="B445" s="10">
        <v>42831</v>
      </c>
      <c r="C445" s="9" t="s">
        <v>1736</v>
      </c>
      <c r="D445" s="9" t="s">
        <v>1734</v>
      </c>
      <c r="E445" s="9" t="s">
        <v>2190</v>
      </c>
      <c r="F445" s="9" t="e">
        <v>#N/A</v>
      </c>
      <c r="G445" s="8">
        <v>6371</v>
      </c>
      <c r="H445" s="4">
        <f t="shared" si="396"/>
        <v>6371</v>
      </c>
      <c r="I445" s="4">
        <f t="shared" si="397"/>
        <v>0</v>
      </c>
      <c r="J445" s="4">
        <f t="shared" si="398"/>
        <v>0</v>
      </c>
      <c r="K445" s="4">
        <f t="shared" si="399"/>
        <v>0</v>
      </c>
      <c r="L445" s="4">
        <f t="shared" si="400"/>
        <v>0</v>
      </c>
      <c r="M445" s="4">
        <f t="shared" si="401"/>
        <v>0</v>
      </c>
      <c r="N445" s="4">
        <f t="shared" si="402"/>
        <v>0</v>
      </c>
      <c r="O445" s="5">
        <f t="shared" si="403"/>
        <v>24</v>
      </c>
      <c r="P445" s="6" t="str">
        <f t="shared" si="404"/>
        <v>30 Days</v>
      </c>
      <c r="Q445" s="7">
        <v>42855</v>
      </c>
      <c r="R445" s="6" t="s">
        <v>2178</v>
      </c>
      <c r="Y445" s="1" t="str">
        <f>"4711232434"</f>
        <v>4711232434</v>
      </c>
    </row>
    <row r="446" spans="1:25" x14ac:dyDescent="0.2">
      <c r="A446" s="9" t="s">
        <v>955</v>
      </c>
      <c r="B446" s="10">
        <v>42803</v>
      </c>
      <c r="C446" s="9" t="s">
        <v>956</v>
      </c>
      <c r="D446" s="9" t="s">
        <v>148</v>
      </c>
      <c r="E446" s="9" t="s">
        <v>2190</v>
      </c>
      <c r="F446" s="9">
        <v>500000</v>
      </c>
      <c r="G446" s="8">
        <v>6379</v>
      </c>
      <c r="H446" s="4">
        <f t="shared" si="396"/>
        <v>0</v>
      </c>
      <c r="I446" s="4">
        <f t="shared" si="397"/>
        <v>0</v>
      </c>
      <c r="J446" s="4">
        <f t="shared" si="398"/>
        <v>6379</v>
      </c>
      <c r="K446" s="4">
        <f t="shared" si="399"/>
        <v>0</v>
      </c>
      <c r="L446" s="4">
        <f t="shared" si="400"/>
        <v>0</v>
      </c>
      <c r="M446" s="4">
        <f t="shared" si="401"/>
        <v>0</v>
      </c>
      <c r="N446" s="4">
        <f t="shared" si="402"/>
        <v>0</v>
      </c>
      <c r="O446" s="5">
        <f t="shared" si="403"/>
        <v>52</v>
      </c>
      <c r="P446" s="6" t="str">
        <f t="shared" si="404"/>
        <v>46 To 60 Days</v>
      </c>
      <c r="Q446" s="7">
        <v>42855</v>
      </c>
      <c r="R446" s="6" t="s">
        <v>2178</v>
      </c>
      <c r="Y446" s="1" t="str">
        <f>"4540130582"</f>
        <v>4540130582</v>
      </c>
    </row>
    <row r="447" spans="1:25" x14ac:dyDescent="0.2">
      <c r="A447" s="9" t="s">
        <v>662</v>
      </c>
      <c r="B447" s="10">
        <v>42787</v>
      </c>
      <c r="C447" s="9" t="s">
        <v>663</v>
      </c>
      <c r="D447" s="9" t="s">
        <v>43</v>
      </c>
      <c r="E447" s="9" t="s">
        <v>2190</v>
      </c>
      <c r="F447" s="9">
        <v>50000</v>
      </c>
      <c r="G447" s="8">
        <v>6384</v>
      </c>
      <c r="H447" s="4">
        <f t="shared" si="396"/>
        <v>0</v>
      </c>
      <c r="I447" s="4">
        <f t="shared" si="397"/>
        <v>0</v>
      </c>
      <c r="J447" s="4">
        <f t="shared" si="398"/>
        <v>0</v>
      </c>
      <c r="K447" s="4">
        <f t="shared" si="399"/>
        <v>6384</v>
      </c>
      <c r="L447" s="4">
        <f t="shared" si="400"/>
        <v>0</v>
      </c>
      <c r="M447" s="4">
        <f t="shared" si="401"/>
        <v>0</v>
      </c>
      <c r="N447" s="4">
        <f t="shared" si="402"/>
        <v>6384</v>
      </c>
      <c r="O447" s="5">
        <f t="shared" si="403"/>
        <v>68</v>
      </c>
      <c r="P447" s="6" t="str">
        <f t="shared" si="404"/>
        <v>61 To 90 Days</v>
      </c>
      <c r="Q447" s="7">
        <v>42855</v>
      </c>
      <c r="R447" s="6" t="s">
        <v>2178</v>
      </c>
      <c r="Y447" s="1" t="str">
        <f>"4395845307"</f>
        <v>4395845307</v>
      </c>
    </row>
    <row r="448" spans="1:25" x14ac:dyDescent="0.2">
      <c r="A448" s="9" t="s">
        <v>874</v>
      </c>
      <c r="B448" s="10">
        <v>42796</v>
      </c>
      <c r="C448" s="9" t="s">
        <v>875</v>
      </c>
      <c r="D448" s="9" t="s">
        <v>873</v>
      </c>
      <c r="E448" s="9" t="s">
        <v>2190</v>
      </c>
      <c r="F448" s="9">
        <v>0</v>
      </c>
      <c r="G448" s="8">
        <v>6389</v>
      </c>
      <c r="H448" s="4">
        <f t="shared" ref="H448:H461" si="405">IF(O448&lt;=30,G448,0)</f>
        <v>0</v>
      </c>
      <c r="I448" s="4">
        <f t="shared" ref="I448:I461" si="406">IF(AND(O448&gt;30,O448&lt;=45),G448,0)</f>
        <v>0</v>
      </c>
      <c r="J448" s="4">
        <f t="shared" ref="J448:J461" si="407">IF(AND(O448&gt;45,O448&lt;=60),G448,0)</f>
        <v>6389</v>
      </c>
      <c r="K448" s="4">
        <f t="shared" ref="K448:K461" si="408">IF(AND(O448&gt;60,O448&lt;=90),G448,0)</f>
        <v>0</v>
      </c>
      <c r="L448" s="4">
        <f t="shared" ref="L448:L461" si="409">IF(AND(O448&gt;90,O448&lt;=120),G448,0)</f>
        <v>0</v>
      </c>
      <c r="M448" s="4">
        <f t="shared" ref="M448:M461" si="410">IF(O448&gt;120,G448,0)</f>
        <v>0</v>
      </c>
      <c r="N448" s="4">
        <f t="shared" ref="N448:N461" si="411">IF(O448&gt;60,G448,0)</f>
        <v>0</v>
      </c>
      <c r="O448" s="5">
        <f t="shared" ref="O448:O461" si="412">Q448-B448</f>
        <v>59</v>
      </c>
      <c r="P448" s="6" t="str">
        <f t="shared" ref="P448:P461" si="413">IF(AND(O448&lt;=30),"30 Days",IF(AND(O448&gt;30,O448&lt;=45),"31 TO 45 Days",IF(AND(O448&gt;45,O448&lt;=60),"46 To 60 Days",IF(AND(O448&gt;60,O448&lt;=90),"61 To 90 Days",IF(AND(O448&gt;90,O448&lt;=120),"91 To 120 Days",IF(AND(O448&gt;120),"Plus120Days",))))))</f>
        <v>46 To 60 Days</v>
      </c>
      <c r="Q448" s="7">
        <v>42855</v>
      </c>
      <c r="R448" s="6" t="s">
        <v>2178</v>
      </c>
      <c r="Y448" s="1" t="str">
        <f>"4711232580"</f>
        <v>4711232580</v>
      </c>
    </row>
    <row r="449" spans="1:25" x14ac:dyDescent="0.2">
      <c r="A449" s="9" t="s">
        <v>2069</v>
      </c>
      <c r="B449" s="10">
        <v>42837</v>
      </c>
      <c r="C449" s="9" t="s">
        <v>2070</v>
      </c>
      <c r="D449" s="9" t="s">
        <v>142</v>
      </c>
      <c r="E449" s="9" t="s">
        <v>2190</v>
      </c>
      <c r="F449" s="9">
        <v>1540000</v>
      </c>
      <c r="G449" s="8">
        <v>6391</v>
      </c>
      <c r="H449" s="4">
        <f t="shared" si="405"/>
        <v>6391</v>
      </c>
      <c r="I449" s="4">
        <f t="shared" si="406"/>
        <v>0</v>
      </c>
      <c r="J449" s="4">
        <f t="shared" si="407"/>
        <v>0</v>
      </c>
      <c r="K449" s="4">
        <f t="shared" si="408"/>
        <v>0</v>
      </c>
      <c r="L449" s="4">
        <f t="shared" si="409"/>
        <v>0</v>
      </c>
      <c r="M449" s="4">
        <f t="shared" si="410"/>
        <v>0</v>
      </c>
      <c r="N449" s="4">
        <f t="shared" si="411"/>
        <v>0</v>
      </c>
      <c r="O449" s="5">
        <f t="shared" si="412"/>
        <v>18</v>
      </c>
      <c r="P449" s="6" t="str">
        <f t="shared" si="413"/>
        <v>30 Days</v>
      </c>
      <c r="Q449" s="7">
        <v>42855</v>
      </c>
      <c r="R449" s="6" t="str">
        <f>VLOOKUP(A449:A4694,[1]BOM_INV_OPERATOR_DETAILS_OUTPUT!$A$2:$D$1233,4,FALSE)</f>
        <v>AI</v>
      </c>
      <c r="Y449" s="1" t="str">
        <f>"4750382659"</f>
        <v>4750382659</v>
      </c>
    </row>
    <row r="450" spans="1:25" x14ac:dyDescent="0.2">
      <c r="A450" s="9" t="s">
        <v>741</v>
      </c>
      <c r="B450" s="10">
        <v>42793</v>
      </c>
      <c r="C450" s="9" t="s">
        <v>742</v>
      </c>
      <c r="D450" s="9" t="s">
        <v>148</v>
      </c>
      <c r="E450" s="9" t="s">
        <v>2190</v>
      </c>
      <c r="F450" s="9">
        <v>500000</v>
      </c>
      <c r="G450" s="8">
        <v>6409</v>
      </c>
      <c r="H450" s="4">
        <f t="shared" si="405"/>
        <v>0</v>
      </c>
      <c r="I450" s="4">
        <f t="shared" si="406"/>
        <v>0</v>
      </c>
      <c r="J450" s="4">
        <f t="shared" si="407"/>
        <v>0</v>
      </c>
      <c r="K450" s="4">
        <f t="shared" si="408"/>
        <v>6409</v>
      </c>
      <c r="L450" s="4">
        <f t="shared" si="409"/>
        <v>0</v>
      </c>
      <c r="M450" s="4">
        <f t="shared" si="410"/>
        <v>0</v>
      </c>
      <c r="N450" s="4">
        <f t="shared" si="411"/>
        <v>6409</v>
      </c>
      <c r="O450" s="5">
        <f t="shared" si="412"/>
        <v>62</v>
      </c>
      <c r="P450" s="6" t="str">
        <f t="shared" si="413"/>
        <v>61 To 90 Days</v>
      </c>
      <c r="Q450" s="7">
        <v>42855</v>
      </c>
      <c r="R450" s="6" t="s">
        <v>2178</v>
      </c>
      <c r="Y450" s="1" t="str">
        <f>"4540130341"</f>
        <v>4540130341</v>
      </c>
    </row>
    <row r="451" spans="1:25" x14ac:dyDescent="0.2">
      <c r="A451" s="9" t="s">
        <v>323</v>
      </c>
      <c r="B451" s="10">
        <v>42748</v>
      </c>
      <c r="C451" s="9" t="s">
        <v>324</v>
      </c>
      <c r="D451" s="9" t="s">
        <v>270</v>
      </c>
      <c r="E451" s="9" t="s">
        <v>2190</v>
      </c>
      <c r="F451" s="9">
        <v>0</v>
      </c>
      <c r="G451" s="8">
        <v>6414</v>
      </c>
      <c r="H451" s="4">
        <f t="shared" si="405"/>
        <v>0</v>
      </c>
      <c r="I451" s="4">
        <f t="shared" si="406"/>
        <v>0</v>
      </c>
      <c r="J451" s="4">
        <f t="shared" si="407"/>
        <v>0</v>
      </c>
      <c r="K451" s="4">
        <f t="shared" si="408"/>
        <v>0</v>
      </c>
      <c r="L451" s="4">
        <f t="shared" si="409"/>
        <v>6414</v>
      </c>
      <c r="M451" s="4">
        <f t="shared" si="410"/>
        <v>0</v>
      </c>
      <c r="N451" s="4">
        <f t="shared" si="411"/>
        <v>6414</v>
      </c>
      <c r="O451" s="5">
        <f t="shared" si="412"/>
        <v>107</v>
      </c>
      <c r="P451" s="6" t="str">
        <f t="shared" si="413"/>
        <v>91 To 120 Days</v>
      </c>
      <c r="Q451" s="7">
        <v>42855</v>
      </c>
      <c r="R451" s="6" t="s">
        <v>2178</v>
      </c>
      <c r="Y451" s="1" t="str">
        <f>"4570266925"</f>
        <v>4570266925</v>
      </c>
    </row>
    <row r="452" spans="1:25" x14ac:dyDescent="0.2">
      <c r="A452" s="9" t="s">
        <v>371</v>
      </c>
      <c r="B452" s="10">
        <v>42758</v>
      </c>
      <c r="C452" s="9" t="s">
        <v>372</v>
      </c>
      <c r="D452" s="9" t="s">
        <v>270</v>
      </c>
      <c r="E452" s="9" t="s">
        <v>2190</v>
      </c>
      <c r="F452" s="9">
        <v>0</v>
      </c>
      <c r="G452" s="8">
        <v>6414</v>
      </c>
      <c r="H452" s="4">
        <f t="shared" si="405"/>
        <v>0</v>
      </c>
      <c r="I452" s="4">
        <f t="shared" si="406"/>
        <v>0</v>
      </c>
      <c r="J452" s="4">
        <f t="shared" si="407"/>
        <v>0</v>
      </c>
      <c r="K452" s="4">
        <f t="shared" si="408"/>
        <v>0</v>
      </c>
      <c r="L452" s="4">
        <f t="shared" si="409"/>
        <v>6414</v>
      </c>
      <c r="M452" s="4">
        <f t="shared" si="410"/>
        <v>0</v>
      </c>
      <c r="N452" s="4">
        <f t="shared" si="411"/>
        <v>6414</v>
      </c>
      <c r="O452" s="5">
        <f t="shared" si="412"/>
        <v>97</v>
      </c>
      <c r="P452" s="6" t="str">
        <f t="shared" si="413"/>
        <v>91 To 120 Days</v>
      </c>
      <c r="Q452" s="7">
        <v>42855</v>
      </c>
      <c r="R452" s="6" t="s">
        <v>2178</v>
      </c>
      <c r="Y452" s="1" t="str">
        <f>"4570267552"</f>
        <v>4570267552</v>
      </c>
    </row>
    <row r="453" spans="1:25" x14ac:dyDescent="0.2">
      <c r="A453" s="9" t="s">
        <v>1566</v>
      </c>
      <c r="B453" s="10">
        <v>42825</v>
      </c>
      <c r="C453" s="9" t="s">
        <v>1567</v>
      </c>
      <c r="D453" s="9" t="s">
        <v>26</v>
      </c>
      <c r="E453" s="9" t="s">
        <v>2190</v>
      </c>
      <c r="F453" s="9">
        <v>100000</v>
      </c>
      <c r="G453" s="8">
        <v>6436</v>
      </c>
      <c r="H453" s="4">
        <f t="shared" si="405"/>
        <v>6436</v>
      </c>
      <c r="I453" s="4">
        <f t="shared" si="406"/>
        <v>0</v>
      </c>
      <c r="J453" s="4">
        <f t="shared" si="407"/>
        <v>0</v>
      </c>
      <c r="K453" s="4">
        <f t="shared" si="408"/>
        <v>0</v>
      </c>
      <c r="L453" s="4">
        <f t="shared" si="409"/>
        <v>0</v>
      </c>
      <c r="M453" s="4">
        <f t="shared" si="410"/>
        <v>0</v>
      </c>
      <c r="N453" s="4">
        <f t="shared" si="411"/>
        <v>0</v>
      </c>
      <c r="O453" s="5">
        <f t="shared" si="412"/>
        <v>30</v>
      </c>
      <c r="P453" s="6" t="str">
        <f t="shared" si="413"/>
        <v>30 Days</v>
      </c>
      <c r="Q453" s="7">
        <v>42855</v>
      </c>
      <c r="R453" s="6" t="s">
        <v>2178</v>
      </c>
      <c r="V453" s="1" t="s">
        <v>13</v>
      </c>
      <c r="W453" s="2">
        <v>42825</v>
      </c>
      <c r="X453" s="1" t="s">
        <v>14</v>
      </c>
      <c r="Y453" s="1" t="str">
        <f>"419166430"</f>
        <v>419166430</v>
      </c>
    </row>
    <row r="454" spans="1:25" x14ac:dyDescent="0.2">
      <c r="A454" s="9" t="s">
        <v>1799</v>
      </c>
      <c r="B454" s="10">
        <v>42832</v>
      </c>
      <c r="C454" s="9" t="s">
        <v>1800</v>
      </c>
      <c r="D454" s="9" t="s">
        <v>1798</v>
      </c>
      <c r="E454" s="9" t="s">
        <v>2190</v>
      </c>
      <c r="F454" s="9">
        <v>0</v>
      </c>
      <c r="G454" s="8">
        <v>6441</v>
      </c>
      <c r="H454" s="4">
        <f t="shared" si="405"/>
        <v>6441</v>
      </c>
      <c r="I454" s="4">
        <f t="shared" si="406"/>
        <v>0</v>
      </c>
      <c r="J454" s="4">
        <f t="shared" si="407"/>
        <v>0</v>
      </c>
      <c r="K454" s="4">
        <f t="shared" si="408"/>
        <v>0</v>
      </c>
      <c r="L454" s="4">
        <f t="shared" si="409"/>
        <v>0</v>
      </c>
      <c r="M454" s="4">
        <f t="shared" si="410"/>
        <v>0</v>
      </c>
      <c r="N454" s="4">
        <f t="shared" si="411"/>
        <v>0</v>
      </c>
      <c r="O454" s="5">
        <f t="shared" si="412"/>
        <v>23</v>
      </c>
      <c r="P454" s="6" t="str">
        <f t="shared" si="413"/>
        <v>30 Days</v>
      </c>
      <c r="Q454" s="7">
        <v>42855</v>
      </c>
      <c r="R454" s="6" t="s">
        <v>2178</v>
      </c>
      <c r="Y454" s="1" t="str">
        <f>"4300212885"</f>
        <v>4300212885</v>
      </c>
    </row>
    <row r="455" spans="1:25" x14ac:dyDescent="0.2">
      <c r="A455" s="9" t="s">
        <v>399</v>
      </c>
      <c r="B455" s="10">
        <v>42763</v>
      </c>
      <c r="C455" s="9" t="s">
        <v>400</v>
      </c>
      <c r="D455" s="9" t="s">
        <v>26</v>
      </c>
      <c r="E455" s="9" t="s">
        <v>2190</v>
      </c>
      <c r="F455" s="9">
        <v>100000</v>
      </c>
      <c r="G455" s="8">
        <v>6443</v>
      </c>
      <c r="H455" s="4">
        <f t="shared" si="405"/>
        <v>0</v>
      </c>
      <c r="I455" s="4">
        <f t="shared" si="406"/>
        <v>0</v>
      </c>
      <c r="J455" s="4">
        <f t="shared" si="407"/>
        <v>0</v>
      </c>
      <c r="K455" s="4">
        <f t="shared" si="408"/>
        <v>0</v>
      </c>
      <c r="L455" s="4">
        <f t="shared" si="409"/>
        <v>6443</v>
      </c>
      <c r="M455" s="4">
        <f t="shared" si="410"/>
        <v>0</v>
      </c>
      <c r="N455" s="4">
        <f t="shared" si="411"/>
        <v>6443</v>
      </c>
      <c r="O455" s="5">
        <f t="shared" si="412"/>
        <v>92</v>
      </c>
      <c r="P455" s="6" t="str">
        <f t="shared" si="413"/>
        <v>91 To 120 Days</v>
      </c>
      <c r="Q455" s="7">
        <v>42855</v>
      </c>
      <c r="R455" s="6" t="s">
        <v>2178</v>
      </c>
      <c r="V455" s="1" t="s">
        <v>13</v>
      </c>
      <c r="W455" s="2">
        <v>42765</v>
      </c>
      <c r="X455" s="1" t="s">
        <v>14</v>
      </c>
      <c r="Y455" s="1" t="str">
        <f>"419164920"</f>
        <v>419164920</v>
      </c>
    </row>
    <row r="456" spans="1:25" x14ac:dyDescent="0.2">
      <c r="A456" s="9" t="s">
        <v>1315</v>
      </c>
      <c r="B456" s="10">
        <v>42819</v>
      </c>
      <c r="C456" s="9" t="s">
        <v>1316</v>
      </c>
      <c r="D456" s="9" t="s">
        <v>148</v>
      </c>
      <c r="E456" s="9" t="s">
        <v>2190</v>
      </c>
      <c r="F456" s="9">
        <v>500000</v>
      </c>
      <c r="G456" s="8">
        <v>6464</v>
      </c>
      <c r="H456" s="4">
        <f t="shared" si="405"/>
        <v>0</v>
      </c>
      <c r="I456" s="4">
        <f t="shared" si="406"/>
        <v>6464</v>
      </c>
      <c r="J456" s="4">
        <f t="shared" si="407"/>
        <v>0</v>
      </c>
      <c r="K456" s="4">
        <f t="shared" si="408"/>
        <v>0</v>
      </c>
      <c r="L456" s="4">
        <f t="shared" si="409"/>
        <v>0</v>
      </c>
      <c r="M456" s="4">
        <f t="shared" si="410"/>
        <v>0</v>
      </c>
      <c r="N456" s="4">
        <f t="shared" si="411"/>
        <v>0</v>
      </c>
      <c r="O456" s="5">
        <f t="shared" si="412"/>
        <v>36</v>
      </c>
      <c r="P456" s="6" t="str">
        <f t="shared" si="413"/>
        <v>31 TO 45 Days</v>
      </c>
      <c r="Q456" s="7">
        <v>42855</v>
      </c>
      <c r="R456" s="6" t="s">
        <v>2178</v>
      </c>
      <c r="Y456" s="1" t="str">
        <f>"4540131356"</f>
        <v>4540131356</v>
      </c>
    </row>
    <row r="457" spans="1:25" x14ac:dyDescent="0.2">
      <c r="A457" s="9" t="s">
        <v>1477</v>
      </c>
      <c r="B457" s="10">
        <v>42824</v>
      </c>
      <c r="C457" s="9" t="s">
        <v>1478</v>
      </c>
      <c r="D457" s="9" t="s">
        <v>45</v>
      </c>
      <c r="E457" s="9" t="s">
        <v>2190</v>
      </c>
      <c r="F457" s="9">
        <v>0</v>
      </c>
      <c r="G457" s="8">
        <v>6467</v>
      </c>
      <c r="H457" s="4">
        <f t="shared" si="405"/>
        <v>0</v>
      </c>
      <c r="I457" s="4">
        <f t="shared" si="406"/>
        <v>6467</v>
      </c>
      <c r="J457" s="4">
        <f t="shared" si="407"/>
        <v>0</v>
      </c>
      <c r="K457" s="4">
        <f t="shared" si="408"/>
        <v>0</v>
      </c>
      <c r="L457" s="4">
        <f t="shared" si="409"/>
        <v>0</v>
      </c>
      <c r="M457" s="4">
        <f t="shared" si="410"/>
        <v>0</v>
      </c>
      <c r="N457" s="4">
        <f t="shared" si="411"/>
        <v>0</v>
      </c>
      <c r="O457" s="5">
        <f t="shared" si="412"/>
        <v>31</v>
      </c>
      <c r="P457" s="6" t="str">
        <f t="shared" si="413"/>
        <v>31 TO 45 Days</v>
      </c>
      <c r="Q457" s="7">
        <v>42855</v>
      </c>
      <c r="R457" s="6" t="s">
        <v>2178</v>
      </c>
      <c r="Y457" s="1" t="str">
        <f>"4560218520"</f>
        <v>4560218520</v>
      </c>
    </row>
    <row r="458" spans="1:25" x14ac:dyDescent="0.2">
      <c r="A458" s="9" t="s">
        <v>1372</v>
      </c>
      <c r="B458" s="10">
        <v>42822</v>
      </c>
      <c r="C458" s="9" t="s">
        <v>1373</v>
      </c>
      <c r="D458" s="9" t="s">
        <v>270</v>
      </c>
      <c r="E458" s="9" t="s">
        <v>2190</v>
      </c>
      <c r="F458" s="9">
        <v>0</v>
      </c>
      <c r="G458" s="8">
        <v>6470</v>
      </c>
      <c r="H458" s="4">
        <f t="shared" si="405"/>
        <v>0</v>
      </c>
      <c r="I458" s="4">
        <f t="shared" si="406"/>
        <v>6470</v>
      </c>
      <c r="J458" s="4">
        <f t="shared" si="407"/>
        <v>0</v>
      </c>
      <c r="K458" s="4">
        <f t="shared" si="408"/>
        <v>0</v>
      </c>
      <c r="L458" s="4">
        <f t="shared" si="409"/>
        <v>0</v>
      </c>
      <c r="M458" s="4">
        <f t="shared" si="410"/>
        <v>0</v>
      </c>
      <c r="N458" s="4">
        <f t="shared" si="411"/>
        <v>0</v>
      </c>
      <c r="O458" s="5">
        <f t="shared" si="412"/>
        <v>33</v>
      </c>
      <c r="P458" s="6" t="str">
        <f t="shared" si="413"/>
        <v>31 TO 45 Days</v>
      </c>
      <c r="Q458" s="7">
        <v>42855</v>
      </c>
      <c r="R458" s="6" t="s">
        <v>2178</v>
      </c>
      <c r="Y458" s="1" t="str">
        <f>"4850057040"</f>
        <v>4850057040</v>
      </c>
    </row>
    <row r="459" spans="1:25" x14ac:dyDescent="0.2">
      <c r="A459" s="9" t="s">
        <v>1040</v>
      </c>
      <c r="B459" s="10">
        <v>42810</v>
      </c>
      <c r="C459" s="9" t="s">
        <v>1041</v>
      </c>
      <c r="D459" s="9" t="s">
        <v>183</v>
      </c>
      <c r="E459" s="9" t="s">
        <v>2190</v>
      </c>
      <c r="F459" s="9">
        <v>500000</v>
      </c>
      <c r="G459" s="8">
        <v>6495</v>
      </c>
      <c r="H459" s="4">
        <f t="shared" si="405"/>
        <v>0</v>
      </c>
      <c r="I459" s="4">
        <f t="shared" si="406"/>
        <v>6495</v>
      </c>
      <c r="J459" s="4">
        <f t="shared" si="407"/>
        <v>0</v>
      </c>
      <c r="K459" s="4">
        <f t="shared" si="408"/>
        <v>0</v>
      </c>
      <c r="L459" s="4">
        <f t="shared" si="409"/>
        <v>0</v>
      </c>
      <c r="M459" s="4">
        <f t="shared" si="410"/>
        <v>0</v>
      </c>
      <c r="N459" s="4">
        <f t="shared" si="411"/>
        <v>0</v>
      </c>
      <c r="O459" s="5">
        <f t="shared" si="412"/>
        <v>45</v>
      </c>
      <c r="P459" s="6" t="str">
        <f t="shared" si="413"/>
        <v>31 TO 45 Days</v>
      </c>
      <c r="Q459" s="7">
        <v>42855</v>
      </c>
      <c r="R459" s="6" t="s">
        <v>2178</v>
      </c>
      <c r="Y459" s="1" t="str">
        <f>"4760147078"</f>
        <v>4760147078</v>
      </c>
    </row>
    <row r="460" spans="1:25" x14ac:dyDescent="0.2">
      <c r="A460" s="9" t="s">
        <v>1518</v>
      </c>
      <c r="B460" s="10">
        <v>42825</v>
      </c>
      <c r="C460" s="9" t="s">
        <v>1519</v>
      </c>
      <c r="D460" s="9" t="s">
        <v>466</v>
      </c>
      <c r="E460" s="9" t="s">
        <v>2190</v>
      </c>
      <c r="F460" s="9">
        <v>200000</v>
      </c>
      <c r="G460" s="8">
        <v>6505</v>
      </c>
      <c r="H460" s="4">
        <f t="shared" si="405"/>
        <v>6505</v>
      </c>
      <c r="I460" s="4">
        <f t="shared" si="406"/>
        <v>0</v>
      </c>
      <c r="J460" s="4">
        <f t="shared" si="407"/>
        <v>0</v>
      </c>
      <c r="K460" s="4">
        <f t="shared" si="408"/>
        <v>0</v>
      </c>
      <c r="L460" s="4">
        <f t="shared" si="409"/>
        <v>0</v>
      </c>
      <c r="M460" s="4">
        <f t="shared" si="410"/>
        <v>0</v>
      </c>
      <c r="N460" s="4">
        <f t="shared" si="411"/>
        <v>0</v>
      </c>
      <c r="O460" s="5">
        <f t="shared" si="412"/>
        <v>30</v>
      </c>
      <c r="P460" s="6" t="str">
        <f t="shared" si="413"/>
        <v>30 Days</v>
      </c>
      <c r="Q460" s="7">
        <v>42855</v>
      </c>
      <c r="R460" s="6" t="s">
        <v>2178</v>
      </c>
      <c r="Y460" s="1" t="str">
        <f>"4711238645"</f>
        <v>4711238645</v>
      </c>
    </row>
    <row r="461" spans="1:25" x14ac:dyDescent="0.2">
      <c r="A461" s="9" t="s">
        <v>1659</v>
      </c>
      <c r="B461" s="10">
        <v>42828</v>
      </c>
      <c r="C461" s="9" t="s">
        <v>1660</v>
      </c>
      <c r="D461" s="9" t="s">
        <v>1658</v>
      </c>
      <c r="E461" s="9" t="s">
        <v>2190</v>
      </c>
      <c r="F461" s="9">
        <v>0</v>
      </c>
      <c r="G461" s="8">
        <v>6509</v>
      </c>
      <c r="H461" s="4">
        <f t="shared" si="405"/>
        <v>6509</v>
      </c>
      <c r="I461" s="4">
        <f t="shared" si="406"/>
        <v>0</v>
      </c>
      <c r="J461" s="4">
        <f t="shared" si="407"/>
        <v>0</v>
      </c>
      <c r="K461" s="4">
        <f t="shared" si="408"/>
        <v>0</v>
      </c>
      <c r="L461" s="4">
        <f t="shared" si="409"/>
        <v>0</v>
      </c>
      <c r="M461" s="4">
        <f t="shared" si="410"/>
        <v>0</v>
      </c>
      <c r="N461" s="4">
        <f t="shared" si="411"/>
        <v>0</v>
      </c>
      <c r="O461" s="5">
        <f t="shared" si="412"/>
        <v>27</v>
      </c>
      <c r="P461" s="6" t="str">
        <f t="shared" si="413"/>
        <v>30 Days</v>
      </c>
      <c r="Q461" s="7">
        <v>42855</v>
      </c>
      <c r="R461" s="6" t="s">
        <v>2178</v>
      </c>
      <c r="Y461" s="1" t="str">
        <f>"416564532"</f>
        <v>416564532</v>
      </c>
    </row>
    <row r="462" spans="1:25" x14ac:dyDescent="0.2">
      <c r="A462" s="9" t="s">
        <v>1132</v>
      </c>
      <c r="B462" s="10">
        <v>42814</v>
      </c>
      <c r="C462" s="9" t="s">
        <v>1133</v>
      </c>
      <c r="D462" s="9" t="s">
        <v>270</v>
      </c>
      <c r="E462" s="9" t="s">
        <v>2190</v>
      </c>
      <c r="F462" s="9">
        <v>0</v>
      </c>
      <c r="G462" s="8">
        <v>6531</v>
      </c>
      <c r="H462" s="4">
        <f t="shared" ref="H462:H481" si="414">IF(O462&lt;=30,G462,0)</f>
        <v>0</v>
      </c>
      <c r="I462" s="4">
        <f t="shared" ref="I462:I481" si="415">IF(AND(O462&gt;30,O462&lt;=45),G462,0)</f>
        <v>6531</v>
      </c>
      <c r="J462" s="4">
        <f t="shared" ref="J462:J481" si="416">IF(AND(O462&gt;45,O462&lt;=60),G462,0)</f>
        <v>0</v>
      </c>
      <c r="K462" s="4">
        <f t="shared" ref="K462:K481" si="417">IF(AND(O462&gt;60,O462&lt;=90),G462,0)</f>
        <v>0</v>
      </c>
      <c r="L462" s="4">
        <f t="shared" ref="L462:L481" si="418">IF(AND(O462&gt;90,O462&lt;=120),G462,0)</f>
        <v>0</v>
      </c>
      <c r="M462" s="4">
        <f t="shared" ref="M462:M481" si="419">IF(O462&gt;120,G462,0)</f>
        <v>0</v>
      </c>
      <c r="N462" s="4">
        <f t="shared" ref="N462:N481" si="420">IF(O462&gt;60,G462,0)</f>
        <v>0</v>
      </c>
      <c r="O462" s="5">
        <f t="shared" ref="O462:O481" si="421">Q462-B462</f>
        <v>41</v>
      </c>
      <c r="P462" s="6" t="str">
        <f t="shared" ref="P462:P481" si="422">IF(AND(O462&lt;=30),"30 Days",IF(AND(O462&gt;30,O462&lt;=45),"31 TO 45 Days",IF(AND(O462&gt;45,O462&lt;=60),"46 To 60 Days",IF(AND(O462&gt;60,O462&lt;=90),"61 To 90 Days",IF(AND(O462&gt;90,O462&lt;=120),"91 To 120 Days",IF(AND(O462&gt;120),"Plus120Days",))))))</f>
        <v>31 TO 45 Days</v>
      </c>
      <c r="Q462" s="7">
        <v>42855</v>
      </c>
      <c r="R462" s="6" t="s">
        <v>2178</v>
      </c>
      <c r="Y462" s="1" t="str">
        <f>"4560218297"</f>
        <v>4560218297</v>
      </c>
    </row>
    <row r="463" spans="1:25" x14ac:dyDescent="0.2">
      <c r="A463" s="9" t="s">
        <v>1495</v>
      </c>
      <c r="B463" s="10">
        <v>42824</v>
      </c>
      <c r="C463" s="9" t="s">
        <v>1496</v>
      </c>
      <c r="D463" s="9" t="s">
        <v>144</v>
      </c>
      <c r="E463" s="9" t="s">
        <v>2190</v>
      </c>
      <c r="F463" s="9">
        <v>2300000</v>
      </c>
      <c r="G463" s="8">
        <v>6545</v>
      </c>
      <c r="H463" s="4">
        <f t="shared" si="414"/>
        <v>0</v>
      </c>
      <c r="I463" s="4">
        <f t="shared" si="415"/>
        <v>6545</v>
      </c>
      <c r="J463" s="4">
        <f t="shared" si="416"/>
        <v>0</v>
      </c>
      <c r="K463" s="4">
        <f t="shared" si="417"/>
        <v>0</v>
      </c>
      <c r="L463" s="4">
        <f t="shared" si="418"/>
        <v>0</v>
      </c>
      <c r="M463" s="4">
        <f t="shared" si="419"/>
        <v>0</v>
      </c>
      <c r="N463" s="4">
        <f t="shared" si="420"/>
        <v>0</v>
      </c>
      <c r="O463" s="5">
        <f t="shared" si="421"/>
        <v>31</v>
      </c>
      <c r="P463" s="6" t="str">
        <f t="shared" si="422"/>
        <v>31 TO 45 Days</v>
      </c>
      <c r="Q463" s="7">
        <v>42855</v>
      </c>
      <c r="R463" s="6" t="s">
        <v>2178</v>
      </c>
      <c r="Y463" s="1" t="str">
        <f>"4912905561"</f>
        <v>4912905561</v>
      </c>
    </row>
    <row r="464" spans="1:25" x14ac:dyDescent="0.2">
      <c r="A464" s="9" t="s">
        <v>500</v>
      </c>
      <c r="B464" s="10">
        <v>42774</v>
      </c>
      <c r="C464" s="9" t="s">
        <v>501</v>
      </c>
      <c r="D464" s="9" t="s">
        <v>270</v>
      </c>
      <c r="E464" s="9" t="s">
        <v>2190</v>
      </c>
      <c r="F464" s="9">
        <v>0</v>
      </c>
      <c r="G464" s="8">
        <v>6561</v>
      </c>
      <c r="H464" s="4">
        <f t="shared" si="414"/>
        <v>0</v>
      </c>
      <c r="I464" s="4">
        <f t="shared" si="415"/>
        <v>0</v>
      </c>
      <c r="J464" s="4">
        <f t="shared" si="416"/>
        <v>0</v>
      </c>
      <c r="K464" s="4">
        <f t="shared" si="417"/>
        <v>6561</v>
      </c>
      <c r="L464" s="4">
        <f t="shared" si="418"/>
        <v>0</v>
      </c>
      <c r="M464" s="4">
        <f t="shared" si="419"/>
        <v>0</v>
      </c>
      <c r="N464" s="4">
        <f t="shared" si="420"/>
        <v>6561</v>
      </c>
      <c r="O464" s="5">
        <f t="shared" si="421"/>
        <v>81</v>
      </c>
      <c r="P464" s="6" t="str">
        <f t="shared" si="422"/>
        <v>61 To 90 Days</v>
      </c>
      <c r="Q464" s="7">
        <v>42855</v>
      </c>
      <c r="R464" s="6" t="s">
        <v>2178</v>
      </c>
      <c r="Y464" s="1" t="str">
        <f>"4850056119"</f>
        <v>4850056119</v>
      </c>
    </row>
    <row r="465" spans="1:25" x14ac:dyDescent="0.2">
      <c r="A465" s="9" t="s">
        <v>1898</v>
      </c>
      <c r="B465" s="10">
        <v>42835</v>
      </c>
      <c r="C465" s="9" t="s">
        <v>1899</v>
      </c>
      <c r="D465" s="9" t="s">
        <v>144</v>
      </c>
      <c r="E465" s="9" t="s">
        <v>2190</v>
      </c>
      <c r="F465" s="9">
        <v>2300000</v>
      </c>
      <c r="G465" s="8">
        <v>6567</v>
      </c>
      <c r="H465" s="4">
        <f t="shared" si="414"/>
        <v>6567</v>
      </c>
      <c r="I465" s="4">
        <f t="shared" si="415"/>
        <v>0</v>
      </c>
      <c r="J465" s="4">
        <f t="shared" si="416"/>
        <v>0</v>
      </c>
      <c r="K465" s="4">
        <f t="shared" si="417"/>
        <v>0</v>
      </c>
      <c r="L465" s="4">
        <f t="shared" si="418"/>
        <v>0</v>
      </c>
      <c r="M465" s="4">
        <f t="shared" si="419"/>
        <v>0</v>
      </c>
      <c r="N465" s="4">
        <f t="shared" si="420"/>
        <v>0</v>
      </c>
      <c r="O465" s="5">
        <f t="shared" si="421"/>
        <v>20</v>
      </c>
      <c r="P465" s="6" t="str">
        <f t="shared" si="422"/>
        <v>30 Days</v>
      </c>
      <c r="Q465" s="7">
        <v>42855</v>
      </c>
      <c r="R465" s="6" t="str">
        <f>VLOOKUP(A465:A4763,[1]BOM_INV_OPERATOR_DETAILS_OUTPUT!$A$2:$D$1233,4,FALSE)</f>
        <v>AI</v>
      </c>
      <c r="Y465" s="1" t="str">
        <f>"4912912718"</f>
        <v>4912912718</v>
      </c>
    </row>
    <row r="466" spans="1:25" x14ac:dyDescent="0.2">
      <c r="A466" s="9" t="s">
        <v>690</v>
      </c>
      <c r="B466" s="10">
        <v>42790</v>
      </c>
      <c r="C466" s="9" t="s">
        <v>691</v>
      </c>
      <c r="D466" s="9" t="s">
        <v>270</v>
      </c>
      <c r="E466" s="9" t="s">
        <v>2190</v>
      </c>
      <c r="F466" s="9">
        <v>0</v>
      </c>
      <c r="G466" s="8">
        <v>6569</v>
      </c>
      <c r="H466" s="4">
        <f t="shared" si="414"/>
        <v>0</v>
      </c>
      <c r="I466" s="4">
        <f t="shared" si="415"/>
        <v>0</v>
      </c>
      <c r="J466" s="4">
        <f t="shared" si="416"/>
        <v>0</v>
      </c>
      <c r="K466" s="4">
        <f t="shared" si="417"/>
        <v>6569</v>
      </c>
      <c r="L466" s="4">
        <f t="shared" si="418"/>
        <v>0</v>
      </c>
      <c r="M466" s="4">
        <f t="shared" si="419"/>
        <v>0</v>
      </c>
      <c r="N466" s="4">
        <f t="shared" si="420"/>
        <v>6569</v>
      </c>
      <c r="O466" s="5">
        <f t="shared" si="421"/>
        <v>65</v>
      </c>
      <c r="P466" s="6" t="str">
        <f t="shared" si="422"/>
        <v>61 To 90 Days</v>
      </c>
      <c r="Q466" s="7">
        <v>42855</v>
      </c>
      <c r="R466" s="6" t="s">
        <v>2178</v>
      </c>
      <c r="Y466" s="1" t="str">
        <f>"4570268909"</f>
        <v>4570268909</v>
      </c>
    </row>
    <row r="467" spans="1:25" x14ac:dyDescent="0.2">
      <c r="A467" s="9" t="s">
        <v>811</v>
      </c>
      <c r="B467" s="10">
        <v>42794</v>
      </c>
      <c r="C467" s="9" t="s">
        <v>812</v>
      </c>
      <c r="D467" s="9" t="s">
        <v>270</v>
      </c>
      <c r="E467" s="9" t="s">
        <v>2190</v>
      </c>
      <c r="F467" s="9">
        <v>0</v>
      </c>
      <c r="G467" s="8">
        <v>6569</v>
      </c>
      <c r="H467" s="4">
        <f t="shared" si="414"/>
        <v>0</v>
      </c>
      <c r="I467" s="4">
        <f t="shared" si="415"/>
        <v>0</v>
      </c>
      <c r="J467" s="4">
        <f t="shared" si="416"/>
        <v>0</v>
      </c>
      <c r="K467" s="4">
        <f t="shared" si="417"/>
        <v>6569</v>
      </c>
      <c r="L467" s="4">
        <f t="shared" si="418"/>
        <v>0</v>
      </c>
      <c r="M467" s="4">
        <f t="shared" si="419"/>
        <v>0</v>
      </c>
      <c r="N467" s="4">
        <f t="shared" si="420"/>
        <v>6569</v>
      </c>
      <c r="O467" s="5">
        <f t="shared" si="421"/>
        <v>61</v>
      </c>
      <c r="P467" s="6" t="str">
        <f t="shared" si="422"/>
        <v>61 To 90 Days</v>
      </c>
      <c r="Q467" s="7">
        <v>42855</v>
      </c>
      <c r="R467" s="6" t="s">
        <v>2178</v>
      </c>
      <c r="Y467" s="1" t="str">
        <f>"4570269299"</f>
        <v>4570269299</v>
      </c>
    </row>
    <row r="468" spans="1:25" x14ac:dyDescent="0.2">
      <c r="A468" s="9" t="s">
        <v>884</v>
      </c>
      <c r="B468" s="10">
        <v>42797</v>
      </c>
      <c r="C468" s="9" t="s">
        <v>885</v>
      </c>
      <c r="D468" s="9" t="s">
        <v>270</v>
      </c>
      <c r="E468" s="9" t="s">
        <v>2190</v>
      </c>
      <c r="F468" s="9">
        <v>0</v>
      </c>
      <c r="G468" s="8">
        <v>6569</v>
      </c>
      <c r="H468" s="4">
        <f t="shared" si="414"/>
        <v>0</v>
      </c>
      <c r="I468" s="4">
        <f t="shared" si="415"/>
        <v>0</v>
      </c>
      <c r="J468" s="4">
        <f t="shared" si="416"/>
        <v>6569</v>
      </c>
      <c r="K468" s="4">
        <f t="shared" si="417"/>
        <v>0</v>
      </c>
      <c r="L468" s="4">
        <f t="shared" si="418"/>
        <v>0</v>
      </c>
      <c r="M468" s="4">
        <f t="shared" si="419"/>
        <v>0</v>
      </c>
      <c r="N468" s="4">
        <f t="shared" si="420"/>
        <v>0</v>
      </c>
      <c r="O468" s="5">
        <f t="shared" si="421"/>
        <v>58</v>
      </c>
      <c r="P468" s="6" t="str">
        <f t="shared" si="422"/>
        <v>46 To 60 Days</v>
      </c>
      <c r="Q468" s="7">
        <v>42855</v>
      </c>
      <c r="R468" s="6" t="s">
        <v>2178</v>
      </c>
      <c r="Y468" s="1" t="str">
        <f>"418546976"</f>
        <v>418546976</v>
      </c>
    </row>
    <row r="469" spans="1:25" x14ac:dyDescent="0.2">
      <c r="A469" s="9" t="s">
        <v>1551</v>
      </c>
      <c r="B469" s="10">
        <v>42825</v>
      </c>
      <c r="C469" s="9" t="s">
        <v>1552</v>
      </c>
      <c r="D469" s="9" t="s">
        <v>142</v>
      </c>
      <c r="E469" s="9" t="s">
        <v>2190</v>
      </c>
      <c r="F469" s="9">
        <v>1540000</v>
      </c>
      <c r="G469" s="8">
        <v>6575</v>
      </c>
      <c r="H469" s="4">
        <f t="shared" si="414"/>
        <v>6575</v>
      </c>
      <c r="I469" s="4">
        <f t="shared" si="415"/>
        <v>0</v>
      </c>
      <c r="J469" s="4">
        <f t="shared" si="416"/>
        <v>0</v>
      </c>
      <c r="K469" s="4">
        <f t="shared" si="417"/>
        <v>0</v>
      </c>
      <c r="L469" s="4">
        <f t="shared" si="418"/>
        <v>0</v>
      </c>
      <c r="M469" s="4">
        <f t="shared" si="419"/>
        <v>0</v>
      </c>
      <c r="N469" s="4">
        <f t="shared" si="420"/>
        <v>0</v>
      </c>
      <c r="O469" s="5">
        <f t="shared" si="421"/>
        <v>30</v>
      </c>
      <c r="P469" s="6" t="str">
        <f t="shared" si="422"/>
        <v>30 Days</v>
      </c>
      <c r="Q469" s="7">
        <v>42855</v>
      </c>
      <c r="R469" s="6" t="s">
        <v>2178</v>
      </c>
      <c r="Y469" s="1" t="str">
        <f>"4750389138"</f>
        <v>4750389138</v>
      </c>
    </row>
    <row r="470" spans="1:25" x14ac:dyDescent="0.2">
      <c r="A470" s="9" t="s">
        <v>1417</v>
      </c>
      <c r="B470" s="10">
        <v>42822</v>
      </c>
      <c r="C470" s="9" t="s">
        <v>1418</v>
      </c>
      <c r="D470" s="9" t="s">
        <v>133</v>
      </c>
      <c r="E470" s="9" t="s">
        <v>2190</v>
      </c>
      <c r="F470" s="9">
        <v>20000000</v>
      </c>
      <c r="G470" s="8">
        <v>6578</v>
      </c>
      <c r="H470" s="4">
        <f t="shared" si="414"/>
        <v>0</v>
      </c>
      <c r="I470" s="4">
        <f t="shared" si="415"/>
        <v>6578</v>
      </c>
      <c r="J470" s="4">
        <f t="shared" si="416"/>
        <v>0</v>
      </c>
      <c r="K470" s="4">
        <f t="shared" si="417"/>
        <v>0</v>
      </c>
      <c r="L470" s="4">
        <f t="shared" si="418"/>
        <v>0</v>
      </c>
      <c r="M470" s="4">
        <f t="shared" si="419"/>
        <v>0</v>
      </c>
      <c r="N470" s="4">
        <f t="shared" si="420"/>
        <v>0</v>
      </c>
      <c r="O470" s="5">
        <f t="shared" si="421"/>
        <v>33</v>
      </c>
      <c r="P470" s="6" t="str">
        <f t="shared" si="422"/>
        <v>31 TO 45 Days</v>
      </c>
      <c r="Q470" s="7">
        <v>42855</v>
      </c>
      <c r="R470" s="6" t="s">
        <v>2178</v>
      </c>
      <c r="V470" s="1" t="s">
        <v>13</v>
      </c>
      <c r="W470" s="2">
        <v>42822</v>
      </c>
      <c r="X470" s="1" t="s">
        <v>14</v>
      </c>
      <c r="Y470" s="1" t="str">
        <f>"4400189705"</f>
        <v>4400189705</v>
      </c>
    </row>
    <row r="471" spans="1:25" x14ac:dyDescent="0.2">
      <c r="A471" s="9" t="s">
        <v>640</v>
      </c>
      <c r="B471" s="10">
        <v>42787</v>
      </c>
      <c r="C471" s="9" t="s">
        <v>641</v>
      </c>
      <c r="D471" s="9" t="s">
        <v>270</v>
      </c>
      <c r="E471" s="9" t="s">
        <v>2190</v>
      </c>
      <c r="F471" s="9">
        <v>0</v>
      </c>
      <c r="G471" s="8">
        <v>6581</v>
      </c>
      <c r="H471" s="4">
        <f t="shared" si="414"/>
        <v>0</v>
      </c>
      <c r="I471" s="4">
        <f t="shared" si="415"/>
        <v>0</v>
      </c>
      <c r="J471" s="4">
        <f t="shared" si="416"/>
        <v>0</v>
      </c>
      <c r="K471" s="4">
        <f t="shared" si="417"/>
        <v>6581</v>
      </c>
      <c r="L471" s="4">
        <f t="shared" si="418"/>
        <v>0</v>
      </c>
      <c r="M471" s="4">
        <f t="shared" si="419"/>
        <v>0</v>
      </c>
      <c r="N471" s="4">
        <f t="shared" si="420"/>
        <v>6581</v>
      </c>
      <c r="O471" s="5">
        <f t="shared" si="421"/>
        <v>68</v>
      </c>
      <c r="P471" s="6" t="str">
        <f t="shared" si="422"/>
        <v>61 To 90 Days</v>
      </c>
      <c r="Q471" s="7">
        <v>42855</v>
      </c>
      <c r="R471" s="6" t="s">
        <v>2178</v>
      </c>
      <c r="Y471" s="1" t="str">
        <f>"4400188257"</f>
        <v>4400188257</v>
      </c>
    </row>
    <row r="472" spans="1:25" x14ac:dyDescent="0.2">
      <c r="A472" s="9" t="s">
        <v>1079</v>
      </c>
      <c r="B472" s="10">
        <v>42812</v>
      </c>
      <c r="C472" s="9" t="s">
        <v>1080</v>
      </c>
      <c r="D472" s="9" t="s">
        <v>140</v>
      </c>
      <c r="E472" s="9" t="s">
        <v>2190</v>
      </c>
      <c r="F472" s="9">
        <v>0</v>
      </c>
      <c r="G472" s="8">
        <v>6602</v>
      </c>
      <c r="H472" s="4">
        <f t="shared" si="414"/>
        <v>0</v>
      </c>
      <c r="I472" s="4">
        <f t="shared" si="415"/>
        <v>6602</v>
      </c>
      <c r="J472" s="4">
        <f t="shared" si="416"/>
        <v>0</v>
      </c>
      <c r="K472" s="4">
        <f t="shared" si="417"/>
        <v>0</v>
      </c>
      <c r="L472" s="4">
        <f t="shared" si="418"/>
        <v>0</v>
      </c>
      <c r="M472" s="4">
        <f t="shared" si="419"/>
        <v>0</v>
      </c>
      <c r="N472" s="4">
        <f t="shared" si="420"/>
        <v>0</v>
      </c>
      <c r="O472" s="5">
        <f t="shared" si="421"/>
        <v>43</v>
      </c>
      <c r="P472" s="6" t="str">
        <f t="shared" si="422"/>
        <v>31 TO 45 Days</v>
      </c>
      <c r="Q472" s="7">
        <v>42855</v>
      </c>
      <c r="R472" s="6" t="s">
        <v>2178</v>
      </c>
      <c r="Y472" s="1" t="str">
        <f>"4480468041"</f>
        <v>4480468041</v>
      </c>
    </row>
    <row r="473" spans="1:25" x14ac:dyDescent="0.2">
      <c r="A473" s="9" t="s">
        <v>1830</v>
      </c>
      <c r="B473" s="10">
        <v>42835</v>
      </c>
      <c r="C473" s="9" t="s">
        <v>1831</v>
      </c>
      <c r="D473" s="9" t="s">
        <v>1829</v>
      </c>
      <c r="E473" s="9" t="s">
        <v>2190</v>
      </c>
      <c r="F473" s="9">
        <v>0</v>
      </c>
      <c r="G473" s="8">
        <v>6608</v>
      </c>
      <c r="H473" s="4">
        <f t="shared" si="414"/>
        <v>6608</v>
      </c>
      <c r="I473" s="4">
        <f t="shared" si="415"/>
        <v>0</v>
      </c>
      <c r="J473" s="4">
        <f t="shared" si="416"/>
        <v>0</v>
      </c>
      <c r="K473" s="4">
        <f t="shared" si="417"/>
        <v>0</v>
      </c>
      <c r="L473" s="4">
        <f t="shared" si="418"/>
        <v>0</v>
      </c>
      <c r="M473" s="4">
        <f t="shared" si="419"/>
        <v>0</v>
      </c>
      <c r="N473" s="4">
        <f t="shared" si="420"/>
        <v>0</v>
      </c>
      <c r="O473" s="5">
        <f t="shared" si="421"/>
        <v>20</v>
      </c>
      <c r="P473" s="6" t="str">
        <f t="shared" si="422"/>
        <v>30 Days</v>
      </c>
      <c r="Q473" s="7">
        <v>42855</v>
      </c>
      <c r="R473" s="6" t="str">
        <f>VLOOKUP(A473:A4776,[1]BOM_INV_OPERATOR_DETAILS_OUTPUT!$A$2:$D$1233,4,FALSE)</f>
        <v>AI</v>
      </c>
      <c r="Y473" s="1" t="str">
        <f>"4080254311"</f>
        <v>4080254311</v>
      </c>
    </row>
    <row r="474" spans="1:25" x14ac:dyDescent="0.2">
      <c r="A474" s="9" t="s">
        <v>613</v>
      </c>
      <c r="B474" s="10">
        <v>42784</v>
      </c>
      <c r="C474" s="9" t="s">
        <v>614</v>
      </c>
      <c r="D474" s="9" t="s">
        <v>148</v>
      </c>
      <c r="E474" s="9" t="s">
        <v>2190</v>
      </c>
      <c r="F474" s="9">
        <v>500000</v>
      </c>
      <c r="G474" s="8">
        <v>6636</v>
      </c>
      <c r="H474" s="4">
        <f t="shared" si="414"/>
        <v>0</v>
      </c>
      <c r="I474" s="4">
        <f t="shared" si="415"/>
        <v>0</v>
      </c>
      <c r="J474" s="4">
        <f t="shared" si="416"/>
        <v>0</v>
      </c>
      <c r="K474" s="4">
        <f t="shared" si="417"/>
        <v>6636</v>
      </c>
      <c r="L474" s="4">
        <f t="shared" si="418"/>
        <v>0</v>
      </c>
      <c r="M474" s="4">
        <f t="shared" si="419"/>
        <v>0</v>
      </c>
      <c r="N474" s="4">
        <f t="shared" si="420"/>
        <v>6636</v>
      </c>
      <c r="O474" s="5">
        <f t="shared" si="421"/>
        <v>71</v>
      </c>
      <c r="P474" s="6" t="str">
        <f t="shared" si="422"/>
        <v>61 To 90 Days</v>
      </c>
      <c r="Q474" s="7">
        <v>42855</v>
      </c>
      <c r="R474" s="6" t="s">
        <v>2178</v>
      </c>
      <c r="Y474" s="1" t="str">
        <f>"4540130268"</f>
        <v>4540130268</v>
      </c>
    </row>
    <row r="475" spans="1:25" x14ac:dyDescent="0.2">
      <c r="A475" s="9" t="s">
        <v>731</v>
      </c>
      <c r="B475" s="10">
        <v>42791</v>
      </c>
      <c r="C475" s="9" t="s">
        <v>732</v>
      </c>
      <c r="D475" s="9" t="s">
        <v>133</v>
      </c>
      <c r="E475" s="9" t="s">
        <v>2190</v>
      </c>
      <c r="F475" s="9">
        <v>20000000</v>
      </c>
      <c r="G475" s="8">
        <v>6644</v>
      </c>
      <c r="H475" s="4">
        <f t="shared" si="414"/>
        <v>0</v>
      </c>
      <c r="I475" s="4">
        <f t="shared" si="415"/>
        <v>0</v>
      </c>
      <c r="J475" s="4">
        <f t="shared" si="416"/>
        <v>0</v>
      </c>
      <c r="K475" s="4">
        <f t="shared" si="417"/>
        <v>6644</v>
      </c>
      <c r="L475" s="4">
        <f t="shared" si="418"/>
        <v>0</v>
      </c>
      <c r="M475" s="4">
        <f t="shared" si="419"/>
        <v>0</v>
      </c>
      <c r="N475" s="4">
        <f t="shared" si="420"/>
        <v>6644</v>
      </c>
      <c r="O475" s="5">
        <f t="shared" si="421"/>
        <v>64</v>
      </c>
      <c r="P475" s="6" t="str">
        <f t="shared" si="422"/>
        <v>61 To 90 Days</v>
      </c>
      <c r="Q475" s="7">
        <v>42855</v>
      </c>
      <c r="R475" s="6" t="s">
        <v>2178</v>
      </c>
      <c r="V475" s="1" t="s">
        <v>13</v>
      </c>
      <c r="W475" s="2">
        <v>42796</v>
      </c>
      <c r="X475" s="1" t="s">
        <v>14</v>
      </c>
      <c r="Y475" s="1" t="str">
        <f>"4750386904"</f>
        <v>4750386904</v>
      </c>
    </row>
    <row r="476" spans="1:25" x14ac:dyDescent="0.2">
      <c r="A476" s="9" t="s">
        <v>432</v>
      </c>
      <c r="B476" s="10">
        <v>42766</v>
      </c>
      <c r="C476" s="9" t="s">
        <v>433</v>
      </c>
      <c r="D476" s="9" t="s">
        <v>270</v>
      </c>
      <c r="E476" s="9" t="s">
        <v>2190</v>
      </c>
      <c r="F476" s="9">
        <v>0</v>
      </c>
      <c r="G476" s="8">
        <v>6664</v>
      </c>
      <c r="H476" s="4">
        <f t="shared" si="414"/>
        <v>0</v>
      </c>
      <c r="I476" s="4">
        <f t="shared" si="415"/>
        <v>0</v>
      </c>
      <c r="J476" s="4">
        <f t="shared" si="416"/>
        <v>0</v>
      </c>
      <c r="K476" s="4">
        <f t="shared" si="417"/>
        <v>6664</v>
      </c>
      <c r="L476" s="4">
        <f t="shared" si="418"/>
        <v>0</v>
      </c>
      <c r="M476" s="4">
        <f t="shared" si="419"/>
        <v>0</v>
      </c>
      <c r="N476" s="4">
        <f t="shared" si="420"/>
        <v>6664</v>
      </c>
      <c r="O476" s="5">
        <f t="shared" si="421"/>
        <v>89</v>
      </c>
      <c r="P476" s="6" t="str">
        <f t="shared" si="422"/>
        <v>61 To 90 Days</v>
      </c>
      <c r="Q476" s="7">
        <v>42855</v>
      </c>
      <c r="R476" s="6" t="s">
        <v>2178</v>
      </c>
      <c r="Y476" s="1" t="str">
        <f>"4570267890"</f>
        <v>4570267890</v>
      </c>
    </row>
    <row r="477" spans="1:25" x14ac:dyDescent="0.2">
      <c r="A477" s="9" t="s">
        <v>1160</v>
      </c>
      <c r="B477" s="10">
        <v>42815</v>
      </c>
      <c r="C477" s="9" t="s">
        <v>1161</v>
      </c>
      <c r="D477" s="9" t="s">
        <v>140</v>
      </c>
      <c r="E477" s="9" t="s">
        <v>2190</v>
      </c>
      <c r="F477" s="9">
        <v>0</v>
      </c>
      <c r="G477" s="8">
        <v>6676</v>
      </c>
      <c r="H477" s="4">
        <f t="shared" si="414"/>
        <v>0</v>
      </c>
      <c r="I477" s="4">
        <f t="shared" si="415"/>
        <v>6676</v>
      </c>
      <c r="J477" s="4">
        <f t="shared" si="416"/>
        <v>0</v>
      </c>
      <c r="K477" s="4">
        <f t="shared" si="417"/>
        <v>0</v>
      </c>
      <c r="L477" s="4">
        <f t="shared" si="418"/>
        <v>0</v>
      </c>
      <c r="M477" s="4">
        <f t="shared" si="419"/>
        <v>0</v>
      </c>
      <c r="N477" s="4">
        <f t="shared" si="420"/>
        <v>0</v>
      </c>
      <c r="O477" s="5">
        <f t="shared" si="421"/>
        <v>40</v>
      </c>
      <c r="P477" s="6" t="str">
        <f t="shared" si="422"/>
        <v>31 TO 45 Days</v>
      </c>
      <c r="Q477" s="7">
        <v>42855</v>
      </c>
      <c r="R477" s="6" t="s">
        <v>2178</v>
      </c>
      <c r="Y477" s="1" t="str">
        <f>"4480468592"</f>
        <v>4480468592</v>
      </c>
    </row>
    <row r="478" spans="1:25" x14ac:dyDescent="0.2">
      <c r="A478" s="9" t="s">
        <v>250</v>
      </c>
      <c r="B478" s="10">
        <v>42737</v>
      </c>
      <c r="C478" s="9" t="s">
        <v>251</v>
      </c>
      <c r="D478" s="9" t="s">
        <v>133</v>
      </c>
      <c r="E478" s="9" t="s">
        <v>2190</v>
      </c>
      <c r="F478" s="9">
        <v>20000000</v>
      </c>
      <c r="G478" s="8">
        <v>6687</v>
      </c>
      <c r="H478" s="4">
        <f t="shared" si="414"/>
        <v>0</v>
      </c>
      <c r="I478" s="4">
        <f t="shared" si="415"/>
        <v>0</v>
      </c>
      <c r="J478" s="4">
        <f t="shared" si="416"/>
        <v>0</v>
      </c>
      <c r="K478" s="4">
        <f t="shared" si="417"/>
        <v>0</v>
      </c>
      <c r="L478" s="4">
        <f t="shared" si="418"/>
        <v>6687</v>
      </c>
      <c r="M478" s="4">
        <f t="shared" si="419"/>
        <v>0</v>
      </c>
      <c r="N478" s="4">
        <f t="shared" si="420"/>
        <v>6687</v>
      </c>
      <c r="O478" s="5">
        <f t="shared" si="421"/>
        <v>118</v>
      </c>
      <c r="P478" s="6" t="str">
        <f t="shared" si="422"/>
        <v>91 To 120 Days</v>
      </c>
      <c r="Q478" s="7">
        <v>42855</v>
      </c>
      <c r="R478" s="6" t="s">
        <v>2178</v>
      </c>
      <c r="V478" s="1" t="s">
        <v>13</v>
      </c>
      <c r="Y478" s="1" t="str">
        <f>"4071581418"</f>
        <v>4071581418</v>
      </c>
    </row>
    <row r="479" spans="1:25" x14ac:dyDescent="0.2">
      <c r="A479" s="9" t="s">
        <v>1395</v>
      </c>
      <c r="B479" s="10">
        <v>42822</v>
      </c>
      <c r="C479" s="9" t="s">
        <v>1396</v>
      </c>
      <c r="D479" s="9" t="s">
        <v>144</v>
      </c>
      <c r="E479" s="9" t="s">
        <v>2190</v>
      </c>
      <c r="F479" s="9">
        <v>2300000</v>
      </c>
      <c r="G479" s="8">
        <v>6695</v>
      </c>
      <c r="H479" s="4">
        <f t="shared" si="414"/>
        <v>0</v>
      </c>
      <c r="I479" s="4">
        <f t="shared" si="415"/>
        <v>6695</v>
      </c>
      <c r="J479" s="4">
        <f t="shared" si="416"/>
        <v>0</v>
      </c>
      <c r="K479" s="4">
        <f t="shared" si="417"/>
        <v>0</v>
      </c>
      <c r="L479" s="4">
        <f t="shared" si="418"/>
        <v>0</v>
      </c>
      <c r="M479" s="4">
        <f t="shared" si="419"/>
        <v>0</v>
      </c>
      <c r="N479" s="4">
        <f t="shared" si="420"/>
        <v>0</v>
      </c>
      <c r="O479" s="5">
        <f t="shared" si="421"/>
        <v>33</v>
      </c>
      <c r="P479" s="6" t="str">
        <f t="shared" si="422"/>
        <v>31 TO 45 Days</v>
      </c>
      <c r="Q479" s="7">
        <v>42855</v>
      </c>
      <c r="R479" s="6" t="s">
        <v>2178</v>
      </c>
      <c r="Y479" s="1" t="str">
        <f>"4912901988"</f>
        <v>4912901988</v>
      </c>
    </row>
    <row r="480" spans="1:25" x14ac:dyDescent="0.2">
      <c r="A480" s="9" t="s">
        <v>1441</v>
      </c>
      <c r="B480" s="10">
        <v>42823</v>
      </c>
      <c r="C480" s="9" t="s">
        <v>1442</v>
      </c>
      <c r="D480" s="9" t="s">
        <v>44</v>
      </c>
      <c r="E480" s="9" t="s">
        <v>2190</v>
      </c>
      <c r="F480" s="9">
        <v>1000000</v>
      </c>
      <c r="G480" s="8">
        <v>6710</v>
      </c>
      <c r="H480" s="4">
        <f t="shared" si="414"/>
        <v>0</v>
      </c>
      <c r="I480" s="4">
        <f t="shared" si="415"/>
        <v>6710</v>
      </c>
      <c r="J480" s="4">
        <f t="shared" si="416"/>
        <v>0</v>
      </c>
      <c r="K480" s="4">
        <f t="shared" si="417"/>
        <v>0</v>
      </c>
      <c r="L480" s="4">
        <f t="shared" si="418"/>
        <v>0</v>
      </c>
      <c r="M480" s="4">
        <f t="shared" si="419"/>
        <v>0</v>
      </c>
      <c r="N480" s="4">
        <f t="shared" si="420"/>
        <v>0</v>
      </c>
      <c r="O480" s="5">
        <f t="shared" si="421"/>
        <v>32</v>
      </c>
      <c r="P480" s="6" t="str">
        <f t="shared" si="422"/>
        <v>31 TO 45 Days</v>
      </c>
      <c r="Q480" s="7">
        <v>42855</v>
      </c>
      <c r="R480" s="6" t="s">
        <v>2178</v>
      </c>
      <c r="Y480" s="1" t="str">
        <f>"4520086532"</f>
        <v>4520086532</v>
      </c>
    </row>
    <row r="481" spans="1:25" x14ac:dyDescent="0.2">
      <c r="A481" s="9" t="s">
        <v>516</v>
      </c>
      <c r="B481" s="10">
        <v>42775</v>
      </c>
      <c r="C481" s="9" t="s">
        <v>517</v>
      </c>
      <c r="D481" s="9" t="s">
        <v>148</v>
      </c>
      <c r="E481" s="9" t="s">
        <v>2190</v>
      </c>
      <c r="F481" s="9">
        <v>500000</v>
      </c>
      <c r="G481" s="8">
        <v>6718</v>
      </c>
      <c r="H481" s="4">
        <f t="shared" si="414"/>
        <v>0</v>
      </c>
      <c r="I481" s="4">
        <f t="shared" si="415"/>
        <v>0</v>
      </c>
      <c r="J481" s="4">
        <f t="shared" si="416"/>
        <v>0</v>
      </c>
      <c r="K481" s="4">
        <f t="shared" si="417"/>
        <v>6718</v>
      </c>
      <c r="L481" s="4">
        <f t="shared" si="418"/>
        <v>0</v>
      </c>
      <c r="M481" s="4">
        <f t="shared" si="419"/>
        <v>0</v>
      </c>
      <c r="N481" s="4">
        <f t="shared" si="420"/>
        <v>6718</v>
      </c>
      <c r="O481" s="5">
        <f t="shared" si="421"/>
        <v>80</v>
      </c>
      <c r="P481" s="6" t="str">
        <f t="shared" si="422"/>
        <v>61 To 90 Days</v>
      </c>
      <c r="Q481" s="7">
        <v>42855</v>
      </c>
      <c r="R481" s="6" t="s">
        <v>2178</v>
      </c>
      <c r="Y481" s="1" t="str">
        <f>"4540130031"</f>
        <v>4540130031</v>
      </c>
    </row>
    <row r="482" spans="1:25" x14ac:dyDescent="0.2">
      <c r="A482" s="9" t="s">
        <v>809</v>
      </c>
      <c r="B482" s="10">
        <v>42794</v>
      </c>
      <c r="C482" s="9" t="s">
        <v>810</v>
      </c>
      <c r="D482" s="9" t="s">
        <v>270</v>
      </c>
      <c r="E482" s="9" t="s">
        <v>2190</v>
      </c>
      <c r="F482" s="9">
        <v>0</v>
      </c>
      <c r="G482" s="8">
        <v>6718</v>
      </c>
      <c r="H482" s="4">
        <f t="shared" ref="H482:H498" si="423">IF(O482&lt;=30,G482,0)</f>
        <v>0</v>
      </c>
      <c r="I482" s="4">
        <f t="shared" ref="I482:I498" si="424">IF(AND(O482&gt;30,O482&lt;=45),G482,0)</f>
        <v>0</v>
      </c>
      <c r="J482" s="4">
        <f t="shared" ref="J482:J498" si="425">IF(AND(O482&gt;45,O482&lt;=60),G482,0)</f>
        <v>0</v>
      </c>
      <c r="K482" s="4">
        <f t="shared" ref="K482:K498" si="426">IF(AND(O482&gt;60,O482&lt;=90),G482,0)</f>
        <v>6718</v>
      </c>
      <c r="L482" s="4">
        <f t="shared" ref="L482:L498" si="427">IF(AND(O482&gt;90,O482&lt;=120),G482,0)</f>
        <v>0</v>
      </c>
      <c r="M482" s="4">
        <f t="shared" ref="M482:M498" si="428">IF(O482&gt;120,G482,0)</f>
        <v>0</v>
      </c>
      <c r="N482" s="4">
        <f t="shared" ref="N482:N498" si="429">IF(O482&gt;60,G482,0)</f>
        <v>6718</v>
      </c>
      <c r="O482" s="5">
        <f t="shared" ref="O482:O498" si="430">Q482-B482</f>
        <v>61</v>
      </c>
      <c r="P482" s="6" t="str">
        <f t="shared" ref="P482:P498" si="431">IF(AND(O482&lt;=30),"30 Days",IF(AND(O482&gt;30,O482&lt;=45),"31 TO 45 Days",IF(AND(O482&gt;45,O482&lt;=60),"46 To 60 Days",IF(AND(O482&gt;60,O482&lt;=90),"61 To 90 Days",IF(AND(O482&gt;90,O482&lt;=120),"91 To 120 Days",IF(AND(O482&gt;120),"Plus120Days",))))))</f>
        <v>61 To 90 Days</v>
      </c>
      <c r="Q482" s="7">
        <v>42855</v>
      </c>
      <c r="R482" s="6" t="s">
        <v>2178</v>
      </c>
      <c r="Y482" s="1" t="str">
        <f>"4850056369"</f>
        <v>4850056369</v>
      </c>
    </row>
    <row r="483" spans="1:25" x14ac:dyDescent="0.2">
      <c r="A483" s="9" t="s">
        <v>1520</v>
      </c>
      <c r="B483" s="10">
        <v>42825</v>
      </c>
      <c r="C483" s="9" t="s">
        <v>1521</v>
      </c>
      <c r="D483" s="9" t="s">
        <v>466</v>
      </c>
      <c r="E483" s="9" t="s">
        <v>2190</v>
      </c>
      <c r="F483" s="9">
        <v>200000</v>
      </c>
      <c r="G483" s="8">
        <v>6723</v>
      </c>
      <c r="H483" s="4">
        <f t="shared" si="423"/>
        <v>6723</v>
      </c>
      <c r="I483" s="4">
        <f t="shared" si="424"/>
        <v>0</v>
      </c>
      <c r="J483" s="4">
        <f t="shared" si="425"/>
        <v>0</v>
      </c>
      <c r="K483" s="4">
        <f t="shared" si="426"/>
        <v>0</v>
      </c>
      <c r="L483" s="4">
        <f t="shared" si="427"/>
        <v>0</v>
      </c>
      <c r="M483" s="4">
        <f t="shared" si="428"/>
        <v>0</v>
      </c>
      <c r="N483" s="4">
        <f t="shared" si="429"/>
        <v>0</v>
      </c>
      <c r="O483" s="5">
        <f t="shared" si="430"/>
        <v>30</v>
      </c>
      <c r="P483" s="6" t="str">
        <f t="shared" si="431"/>
        <v>30 Days</v>
      </c>
      <c r="Q483" s="7">
        <v>42855</v>
      </c>
      <c r="R483" s="6" t="s">
        <v>2178</v>
      </c>
      <c r="Y483" s="1" t="str">
        <f>"4711239548"</f>
        <v>4711239548</v>
      </c>
    </row>
    <row r="484" spans="1:25" x14ac:dyDescent="0.2">
      <c r="A484" s="9" t="s">
        <v>1351</v>
      </c>
      <c r="B484" s="10">
        <v>42821</v>
      </c>
      <c r="C484" s="9" t="s">
        <v>1352</v>
      </c>
      <c r="D484" s="9" t="s">
        <v>44</v>
      </c>
      <c r="E484" s="9" t="s">
        <v>2190</v>
      </c>
      <c r="F484" s="9">
        <v>1000000</v>
      </c>
      <c r="G484" s="8">
        <v>6732</v>
      </c>
      <c r="H484" s="4">
        <f t="shared" si="423"/>
        <v>0</v>
      </c>
      <c r="I484" s="4">
        <f t="shared" si="424"/>
        <v>6732</v>
      </c>
      <c r="J484" s="4">
        <f t="shared" si="425"/>
        <v>0</v>
      </c>
      <c r="K484" s="4">
        <f t="shared" si="426"/>
        <v>0</v>
      </c>
      <c r="L484" s="4">
        <f t="shared" si="427"/>
        <v>0</v>
      </c>
      <c r="M484" s="4">
        <f t="shared" si="428"/>
        <v>0</v>
      </c>
      <c r="N484" s="4">
        <f t="shared" si="429"/>
        <v>0</v>
      </c>
      <c r="O484" s="5">
        <f t="shared" si="430"/>
        <v>34</v>
      </c>
      <c r="P484" s="6" t="str">
        <f t="shared" si="431"/>
        <v>31 TO 45 Days</v>
      </c>
      <c r="Q484" s="7">
        <v>42855</v>
      </c>
      <c r="R484" s="6" t="s">
        <v>2178</v>
      </c>
      <c r="Y484" s="1" t="str">
        <f>"4520086493"</f>
        <v>4520086493</v>
      </c>
    </row>
    <row r="485" spans="1:25" x14ac:dyDescent="0.2">
      <c r="A485" s="9" t="s">
        <v>1423</v>
      </c>
      <c r="B485" s="10">
        <v>42822</v>
      </c>
      <c r="C485" s="9" t="s">
        <v>1424</v>
      </c>
      <c r="D485" s="9" t="s">
        <v>26</v>
      </c>
      <c r="E485" s="9" t="s">
        <v>2190</v>
      </c>
      <c r="F485" s="9">
        <v>100000</v>
      </c>
      <c r="G485" s="8">
        <v>6749</v>
      </c>
      <c r="H485" s="4">
        <f t="shared" si="423"/>
        <v>0</v>
      </c>
      <c r="I485" s="4">
        <f t="shared" si="424"/>
        <v>6749</v>
      </c>
      <c r="J485" s="4">
        <f t="shared" si="425"/>
        <v>0</v>
      </c>
      <c r="K485" s="4">
        <f t="shared" si="426"/>
        <v>0</v>
      </c>
      <c r="L485" s="4">
        <f t="shared" si="427"/>
        <v>0</v>
      </c>
      <c r="M485" s="4">
        <f t="shared" si="428"/>
        <v>0</v>
      </c>
      <c r="N485" s="4">
        <f t="shared" si="429"/>
        <v>0</v>
      </c>
      <c r="O485" s="5">
        <f t="shared" si="430"/>
        <v>33</v>
      </c>
      <c r="P485" s="6" t="str">
        <f t="shared" si="431"/>
        <v>31 TO 45 Days</v>
      </c>
      <c r="Q485" s="7">
        <v>42855</v>
      </c>
      <c r="R485" s="6" t="s">
        <v>2178</v>
      </c>
      <c r="V485" s="1" t="s">
        <v>13</v>
      </c>
      <c r="W485" s="2">
        <v>42822</v>
      </c>
      <c r="X485" s="1" t="s">
        <v>14</v>
      </c>
      <c r="Y485" s="1" t="str">
        <f>"419166346"</f>
        <v>419166346</v>
      </c>
    </row>
    <row r="486" spans="1:25" x14ac:dyDescent="0.2">
      <c r="A486" s="9" t="s">
        <v>696</v>
      </c>
      <c r="B486" s="10">
        <v>42790</v>
      </c>
      <c r="C486" s="9" t="s">
        <v>697</v>
      </c>
      <c r="D486" s="9" t="s">
        <v>44</v>
      </c>
      <c r="E486" s="9" t="s">
        <v>2190</v>
      </c>
      <c r="F486" s="9">
        <v>1000000</v>
      </c>
      <c r="G486" s="8">
        <v>6755</v>
      </c>
      <c r="H486" s="4">
        <f t="shared" si="423"/>
        <v>0</v>
      </c>
      <c r="I486" s="4">
        <f t="shared" si="424"/>
        <v>0</v>
      </c>
      <c r="J486" s="4">
        <f t="shared" si="425"/>
        <v>0</v>
      </c>
      <c r="K486" s="4">
        <f t="shared" si="426"/>
        <v>6755</v>
      </c>
      <c r="L486" s="4">
        <f t="shared" si="427"/>
        <v>0</v>
      </c>
      <c r="M486" s="4">
        <f t="shared" si="428"/>
        <v>0</v>
      </c>
      <c r="N486" s="4">
        <f t="shared" si="429"/>
        <v>6755</v>
      </c>
      <c r="O486" s="5">
        <f t="shared" si="430"/>
        <v>65</v>
      </c>
      <c r="P486" s="6" t="str">
        <f t="shared" si="431"/>
        <v>61 To 90 Days</v>
      </c>
      <c r="Q486" s="7">
        <v>42855</v>
      </c>
      <c r="R486" s="6" t="s">
        <v>2178</v>
      </c>
      <c r="Y486" s="1" t="str">
        <f>"4520085999"</f>
        <v>4520085999</v>
      </c>
    </row>
    <row r="487" spans="1:25" x14ac:dyDescent="0.2">
      <c r="A487" s="9" t="s">
        <v>1896</v>
      </c>
      <c r="B487" s="10">
        <v>42835</v>
      </c>
      <c r="C487" s="9" t="s">
        <v>1897</v>
      </c>
      <c r="D487" s="9" t="s">
        <v>144</v>
      </c>
      <c r="E487" s="9" t="s">
        <v>2190</v>
      </c>
      <c r="F487" s="9">
        <v>2300000</v>
      </c>
      <c r="G487" s="8">
        <v>6776</v>
      </c>
      <c r="H487" s="4">
        <f t="shared" si="423"/>
        <v>6776</v>
      </c>
      <c r="I487" s="4">
        <f t="shared" si="424"/>
        <v>0</v>
      </c>
      <c r="J487" s="4">
        <f t="shared" si="425"/>
        <v>0</v>
      </c>
      <c r="K487" s="4">
        <f t="shared" si="426"/>
        <v>0</v>
      </c>
      <c r="L487" s="4">
        <f t="shared" si="427"/>
        <v>0</v>
      </c>
      <c r="M487" s="4">
        <f t="shared" si="428"/>
        <v>0</v>
      </c>
      <c r="N487" s="4">
        <f t="shared" si="429"/>
        <v>0</v>
      </c>
      <c r="O487" s="5">
        <f t="shared" si="430"/>
        <v>20</v>
      </c>
      <c r="P487" s="6" t="str">
        <f t="shared" si="431"/>
        <v>30 Days</v>
      </c>
      <c r="Q487" s="7">
        <v>42855</v>
      </c>
      <c r="R487" s="6" t="str">
        <f>VLOOKUP(A487:A4833,[1]BOM_INV_OPERATOR_DETAILS_OUTPUT!$A$2:$D$1233,4,FALSE)</f>
        <v>AI</v>
      </c>
      <c r="Y487" s="1" t="str">
        <f>"4912911512"</f>
        <v>4912911512</v>
      </c>
    </row>
    <row r="488" spans="1:25" x14ac:dyDescent="0.2">
      <c r="A488" s="9" t="s">
        <v>1882</v>
      </c>
      <c r="B488" s="10">
        <v>42835</v>
      </c>
      <c r="C488" s="9" t="s">
        <v>1883</v>
      </c>
      <c r="D488" s="9" t="s">
        <v>144</v>
      </c>
      <c r="E488" s="9" t="s">
        <v>2190</v>
      </c>
      <c r="F488" s="9">
        <v>2300000</v>
      </c>
      <c r="G488" s="8">
        <v>6794</v>
      </c>
      <c r="H488" s="4">
        <f t="shared" si="423"/>
        <v>6794</v>
      </c>
      <c r="I488" s="4">
        <f t="shared" si="424"/>
        <v>0</v>
      </c>
      <c r="J488" s="4">
        <f t="shared" si="425"/>
        <v>0</v>
      </c>
      <c r="K488" s="4">
        <f t="shared" si="426"/>
        <v>0</v>
      </c>
      <c r="L488" s="4">
        <f t="shared" si="427"/>
        <v>0</v>
      </c>
      <c r="M488" s="4">
        <f t="shared" si="428"/>
        <v>0</v>
      </c>
      <c r="N488" s="4">
        <f t="shared" si="429"/>
        <v>0</v>
      </c>
      <c r="O488" s="5">
        <f t="shared" si="430"/>
        <v>20</v>
      </c>
      <c r="P488" s="6" t="str">
        <f t="shared" si="431"/>
        <v>30 Days</v>
      </c>
      <c r="Q488" s="7">
        <v>42855</v>
      </c>
      <c r="R488" s="6" t="str">
        <f>VLOOKUP(A488:A4838,[1]BOM_INV_OPERATOR_DETAILS_OUTPUT!$A$2:$D$1233,4,FALSE)</f>
        <v>AI</v>
      </c>
      <c r="Y488" s="1" t="str">
        <f>"4912910550"</f>
        <v>4912910550</v>
      </c>
    </row>
    <row r="489" spans="1:25" x14ac:dyDescent="0.2">
      <c r="A489" s="9" t="s">
        <v>1038</v>
      </c>
      <c r="B489" s="10">
        <v>42810</v>
      </c>
      <c r="C489" s="9" t="s">
        <v>1039</v>
      </c>
      <c r="D489" s="9" t="s">
        <v>15</v>
      </c>
      <c r="E489" s="9" t="s">
        <v>2190</v>
      </c>
      <c r="F489" s="9">
        <v>5000000</v>
      </c>
      <c r="G489" s="8">
        <v>6794</v>
      </c>
      <c r="H489" s="4">
        <f t="shared" si="423"/>
        <v>0</v>
      </c>
      <c r="I489" s="4">
        <f t="shared" si="424"/>
        <v>6794</v>
      </c>
      <c r="J489" s="4">
        <f t="shared" si="425"/>
        <v>0</v>
      </c>
      <c r="K489" s="4">
        <f t="shared" si="426"/>
        <v>0</v>
      </c>
      <c r="L489" s="4">
        <f t="shared" si="427"/>
        <v>0</v>
      </c>
      <c r="M489" s="4">
        <f t="shared" si="428"/>
        <v>0</v>
      </c>
      <c r="N489" s="4">
        <f t="shared" si="429"/>
        <v>0</v>
      </c>
      <c r="O489" s="5">
        <f t="shared" si="430"/>
        <v>45</v>
      </c>
      <c r="P489" s="6" t="str">
        <f t="shared" si="431"/>
        <v>31 TO 45 Days</v>
      </c>
      <c r="Q489" s="7">
        <v>42855</v>
      </c>
      <c r="R489" s="6" t="s">
        <v>2178</v>
      </c>
      <c r="Y489" s="1" t="str">
        <f>"419166050"</f>
        <v>419166050</v>
      </c>
    </row>
    <row r="490" spans="1:25" x14ac:dyDescent="0.2">
      <c r="A490" s="9" t="s">
        <v>1328</v>
      </c>
      <c r="B490" s="10">
        <v>42819</v>
      </c>
      <c r="C490" s="9" t="s">
        <v>1329</v>
      </c>
      <c r="D490" s="9" t="s">
        <v>39</v>
      </c>
      <c r="E490" s="9" t="s">
        <v>2190</v>
      </c>
      <c r="F490" s="9">
        <v>7500000</v>
      </c>
      <c r="G490" s="8">
        <v>6827</v>
      </c>
      <c r="H490" s="4">
        <f t="shared" si="423"/>
        <v>0</v>
      </c>
      <c r="I490" s="4">
        <f t="shared" si="424"/>
        <v>6827</v>
      </c>
      <c r="J490" s="4">
        <f t="shared" si="425"/>
        <v>0</v>
      </c>
      <c r="K490" s="4">
        <f t="shared" si="426"/>
        <v>0</v>
      </c>
      <c r="L490" s="4">
        <f t="shared" si="427"/>
        <v>0</v>
      </c>
      <c r="M490" s="4">
        <f t="shared" si="428"/>
        <v>0</v>
      </c>
      <c r="N490" s="4">
        <f t="shared" si="429"/>
        <v>0</v>
      </c>
      <c r="O490" s="5">
        <f t="shared" si="430"/>
        <v>36</v>
      </c>
      <c r="P490" s="6" t="str">
        <f t="shared" si="431"/>
        <v>31 TO 45 Days</v>
      </c>
      <c r="Q490" s="7">
        <v>42855</v>
      </c>
      <c r="R490" s="6" t="s">
        <v>2178</v>
      </c>
      <c r="Y490" s="1" t="str">
        <f>"4250155820"</f>
        <v>4250155820</v>
      </c>
    </row>
    <row r="491" spans="1:25" x14ac:dyDescent="0.2">
      <c r="A491" s="9" t="s">
        <v>1812</v>
      </c>
      <c r="B491" s="10">
        <v>42835</v>
      </c>
      <c r="C491" s="9" t="s">
        <v>1813</v>
      </c>
      <c r="D491" s="9" t="s">
        <v>1811</v>
      </c>
      <c r="E491" s="9" t="s">
        <v>2190</v>
      </c>
      <c r="F491" s="9">
        <v>0</v>
      </c>
      <c r="G491" s="8">
        <v>6837</v>
      </c>
      <c r="H491" s="4">
        <f t="shared" si="423"/>
        <v>6837</v>
      </c>
      <c r="I491" s="4">
        <f t="shared" si="424"/>
        <v>0</v>
      </c>
      <c r="J491" s="4">
        <f t="shared" si="425"/>
        <v>0</v>
      </c>
      <c r="K491" s="4">
        <f t="shared" si="426"/>
        <v>0</v>
      </c>
      <c r="L491" s="4">
        <f t="shared" si="427"/>
        <v>0</v>
      </c>
      <c r="M491" s="4">
        <f t="shared" si="428"/>
        <v>0</v>
      </c>
      <c r="N491" s="4">
        <f t="shared" si="429"/>
        <v>0</v>
      </c>
      <c r="O491" s="5">
        <f t="shared" si="430"/>
        <v>20</v>
      </c>
      <c r="P491" s="6" t="str">
        <f t="shared" si="431"/>
        <v>30 Days</v>
      </c>
      <c r="Q491" s="7">
        <v>42855</v>
      </c>
      <c r="R491" s="6" t="str">
        <f>VLOOKUP(A491:A4849,[1]BOM_INV_OPERATOR_DETAILS_OUTPUT!$A$2:$D$1233,4,FALSE)</f>
        <v>AI</v>
      </c>
      <c r="Y491" s="1" t="str">
        <f>"417470430"</f>
        <v>417470430</v>
      </c>
    </row>
    <row r="492" spans="1:25" x14ac:dyDescent="0.2">
      <c r="A492" s="9" t="s">
        <v>409</v>
      </c>
      <c r="B492" s="10">
        <v>42763</v>
      </c>
      <c r="C492" s="9" t="s">
        <v>410</v>
      </c>
      <c r="D492" s="9" t="s">
        <v>133</v>
      </c>
      <c r="E492" s="9" t="s">
        <v>2190</v>
      </c>
      <c r="F492" s="9">
        <v>20000000</v>
      </c>
      <c r="G492" s="8">
        <v>6868</v>
      </c>
      <c r="H492" s="4">
        <f t="shared" si="423"/>
        <v>0</v>
      </c>
      <c r="I492" s="4">
        <f t="shared" si="424"/>
        <v>0</v>
      </c>
      <c r="J492" s="4">
        <f t="shared" si="425"/>
        <v>0</v>
      </c>
      <c r="K492" s="4">
        <f t="shared" si="426"/>
        <v>0</v>
      </c>
      <c r="L492" s="4">
        <f t="shared" si="427"/>
        <v>6868</v>
      </c>
      <c r="M492" s="4">
        <f t="shared" si="428"/>
        <v>0</v>
      </c>
      <c r="N492" s="4">
        <f t="shared" si="429"/>
        <v>6868</v>
      </c>
      <c r="O492" s="5">
        <f t="shared" si="430"/>
        <v>92</v>
      </c>
      <c r="P492" s="6" t="str">
        <f t="shared" si="431"/>
        <v>91 To 120 Days</v>
      </c>
      <c r="Q492" s="7">
        <v>42855</v>
      </c>
      <c r="R492" s="6" t="s">
        <v>2178</v>
      </c>
      <c r="V492" s="1" t="s">
        <v>13</v>
      </c>
      <c r="W492" s="2">
        <v>42765</v>
      </c>
      <c r="X492" s="1" t="s">
        <v>14</v>
      </c>
      <c r="Y492" s="1" t="str">
        <f>"4711225660"</f>
        <v>4711225660</v>
      </c>
    </row>
    <row r="493" spans="1:25" x14ac:dyDescent="0.2">
      <c r="A493" s="9" t="s">
        <v>1726</v>
      </c>
      <c r="B493" s="10">
        <v>42830</v>
      </c>
      <c r="C493" s="9" t="s">
        <v>1727</v>
      </c>
      <c r="D493" s="9" t="s">
        <v>152</v>
      </c>
      <c r="E493" s="9" t="s">
        <v>2190</v>
      </c>
      <c r="F493" s="9">
        <v>300000</v>
      </c>
      <c r="G493" s="8">
        <v>6890</v>
      </c>
      <c r="H493" s="4">
        <f t="shared" si="423"/>
        <v>6890</v>
      </c>
      <c r="I493" s="4">
        <f t="shared" si="424"/>
        <v>0</v>
      </c>
      <c r="J493" s="4">
        <f t="shared" si="425"/>
        <v>0</v>
      </c>
      <c r="K493" s="4">
        <f t="shared" si="426"/>
        <v>0</v>
      </c>
      <c r="L493" s="4">
        <f t="shared" si="427"/>
        <v>0</v>
      </c>
      <c r="M493" s="4">
        <f t="shared" si="428"/>
        <v>0</v>
      </c>
      <c r="N493" s="4">
        <f t="shared" si="429"/>
        <v>0</v>
      </c>
      <c r="O493" s="5">
        <f t="shared" si="430"/>
        <v>25</v>
      </c>
      <c r="P493" s="6" t="str">
        <f t="shared" si="431"/>
        <v>30 Days</v>
      </c>
      <c r="Q493" s="7">
        <v>42855</v>
      </c>
      <c r="R493" s="6" t="s">
        <v>2178</v>
      </c>
      <c r="Y493" s="1" t="str">
        <f>"4540131642"</f>
        <v>4540131642</v>
      </c>
    </row>
    <row r="494" spans="1:25" x14ac:dyDescent="0.2">
      <c r="A494" s="9" t="s">
        <v>1326</v>
      </c>
      <c r="B494" s="10">
        <v>42819</v>
      </c>
      <c r="C494" s="9" t="s">
        <v>1327</v>
      </c>
      <c r="D494" s="9" t="s">
        <v>39</v>
      </c>
      <c r="E494" s="9" t="s">
        <v>2190</v>
      </c>
      <c r="F494" s="9">
        <v>7500000</v>
      </c>
      <c r="G494" s="8">
        <v>6912</v>
      </c>
      <c r="H494" s="4">
        <f t="shared" si="423"/>
        <v>0</v>
      </c>
      <c r="I494" s="4">
        <f t="shared" si="424"/>
        <v>6912</v>
      </c>
      <c r="J494" s="4">
        <f t="shared" si="425"/>
        <v>0</v>
      </c>
      <c r="K494" s="4">
        <f t="shared" si="426"/>
        <v>0</v>
      </c>
      <c r="L494" s="4">
        <f t="shared" si="427"/>
        <v>0</v>
      </c>
      <c r="M494" s="4">
        <f t="shared" si="428"/>
        <v>0</v>
      </c>
      <c r="N494" s="4">
        <f t="shared" si="429"/>
        <v>0</v>
      </c>
      <c r="O494" s="5">
        <f t="shared" si="430"/>
        <v>36</v>
      </c>
      <c r="P494" s="6" t="str">
        <f t="shared" si="431"/>
        <v>31 TO 45 Days</v>
      </c>
      <c r="Q494" s="7">
        <v>42855</v>
      </c>
      <c r="R494" s="6" t="s">
        <v>2178</v>
      </c>
      <c r="Y494" s="1" t="str">
        <f>"4250155666"</f>
        <v>4250155666</v>
      </c>
    </row>
    <row r="495" spans="1:25" x14ac:dyDescent="0.2">
      <c r="A495" s="9" t="s">
        <v>365</v>
      </c>
      <c r="B495" s="10">
        <v>42758</v>
      </c>
      <c r="C495" s="9" t="s">
        <v>366</v>
      </c>
      <c r="D495" s="9" t="s">
        <v>270</v>
      </c>
      <c r="E495" s="9" t="s">
        <v>2190</v>
      </c>
      <c r="F495" s="9">
        <v>0</v>
      </c>
      <c r="G495" s="8">
        <v>6913</v>
      </c>
      <c r="H495" s="4">
        <f t="shared" si="423"/>
        <v>0</v>
      </c>
      <c r="I495" s="4">
        <f t="shared" si="424"/>
        <v>0</v>
      </c>
      <c r="J495" s="4">
        <f t="shared" si="425"/>
        <v>0</v>
      </c>
      <c r="K495" s="4">
        <f t="shared" si="426"/>
        <v>0</v>
      </c>
      <c r="L495" s="4">
        <f t="shared" si="427"/>
        <v>6913</v>
      </c>
      <c r="M495" s="4">
        <f t="shared" si="428"/>
        <v>0</v>
      </c>
      <c r="N495" s="4">
        <f t="shared" si="429"/>
        <v>6913</v>
      </c>
      <c r="O495" s="5">
        <f t="shared" si="430"/>
        <v>97</v>
      </c>
      <c r="P495" s="6" t="str">
        <f t="shared" si="431"/>
        <v>91 To 120 Days</v>
      </c>
      <c r="Q495" s="7">
        <v>42855</v>
      </c>
      <c r="R495" s="6" t="s">
        <v>2178</v>
      </c>
      <c r="Y495" s="1" t="str">
        <f>"4560216510"</f>
        <v>4560216510</v>
      </c>
    </row>
    <row r="496" spans="1:25" x14ac:dyDescent="0.2">
      <c r="A496" s="9" t="s">
        <v>1401</v>
      </c>
      <c r="B496" s="10">
        <v>42822</v>
      </c>
      <c r="C496" s="9" t="s">
        <v>1402</v>
      </c>
      <c r="D496" s="9" t="s">
        <v>144</v>
      </c>
      <c r="E496" s="9" t="s">
        <v>2190</v>
      </c>
      <c r="F496" s="9">
        <v>2300000</v>
      </c>
      <c r="G496" s="8">
        <v>6914</v>
      </c>
      <c r="H496" s="4">
        <f t="shared" si="423"/>
        <v>0</v>
      </c>
      <c r="I496" s="4">
        <f t="shared" si="424"/>
        <v>6914</v>
      </c>
      <c r="J496" s="4">
        <f t="shared" si="425"/>
        <v>0</v>
      </c>
      <c r="K496" s="4">
        <f t="shared" si="426"/>
        <v>0</v>
      </c>
      <c r="L496" s="4">
        <f t="shared" si="427"/>
        <v>0</v>
      </c>
      <c r="M496" s="4">
        <f t="shared" si="428"/>
        <v>0</v>
      </c>
      <c r="N496" s="4">
        <f t="shared" si="429"/>
        <v>0</v>
      </c>
      <c r="O496" s="5">
        <f t="shared" si="430"/>
        <v>33</v>
      </c>
      <c r="P496" s="6" t="str">
        <f t="shared" si="431"/>
        <v>31 TO 45 Days</v>
      </c>
      <c r="Q496" s="7">
        <v>42855</v>
      </c>
      <c r="R496" s="6" t="s">
        <v>2178</v>
      </c>
      <c r="Y496" s="1" t="str">
        <f>"4912901742"</f>
        <v>4912901742</v>
      </c>
    </row>
    <row r="497" spans="1:25" x14ac:dyDescent="0.2">
      <c r="A497" s="9" t="s">
        <v>489</v>
      </c>
      <c r="B497" s="10">
        <v>42773</v>
      </c>
      <c r="C497" s="9" t="s">
        <v>490</v>
      </c>
      <c r="D497" s="9" t="s">
        <v>26</v>
      </c>
      <c r="E497" s="9" t="s">
        <v>2190</v>
      </c>
      <c r="F497" s="9">
        <v>100000</v>
      </c>
      <c r="G497" s="8">
        <v>6926</v>
      </c>
      <c r="H497" s="4">
        <f t="shared" si="423"/>
        <v>0</v>
      </c>
      <c r="I497" s="4">
        <f t="shared" si="424"/>
        <v>0</v>
      </c>
      <c r="J497" s="4">
        <f t="shared" si="425"/>
        <v>0</v>
      </c>
      <c r="K497" s="4">
        <f t="shared" si="426"/>
        <v>6926</v>
      </c>
      <c r="L497" s="4">
        <f t="shared" si="427"/>
        <v>0</v>
      </c>
      <c r="M497" s="4">
        <f t="shared" si="428"/>
        <v>0</v>
      </c>
      <c r="N497" s="4">
        <f t="shared" si="429"/>
        <v>6926</v>
      </c>
      <c r="O497" s="5">
        <f t="shared" si="430"/>
        <v>82</v>
      </c>
      <c r="P497" s="6" t="str">
        <f t="shared" si="431"/>
        <v>61 To 90 Days</v>
      </c>
      <c r="Q497" s="7">
        <v>42855</v>
      </c>
      <c r="R497" s="6" t="s">
        <v>2178</v>
      </c>
      <c r="V497" s="1" t="s">
        <v>13</v>
      </c>
      <c r="W497" s="2">
        <v>42773</v>
      </c>
      <c r="X497" s="1" t="s">
        <v>14</v>
      </c>
      <c r="Y497" s="1" t="str">
        <f>"419165090"</f>
        <v>419165090</v>
      </c>
    </row>
    <row r="498" spans="1:25" x14ac:dyDescent="0.2">
      <c r="A498" s="9" t="s">
        <v>2115</v>
      </c>
      <c r="B498" s="10">
        <v>42840</v>
      </c>
      <c r="C498" s="9" t="s">
        <v>2116</v>
      </c>
      <c r="D498" s="9" t="s">
        <v>34</v>
      </c>
      <c r="E498" s="9" t="s">
        <v>2190</v>
      </c>
      <c r="F498" s="9">
        <v>0</v>
      </c>
      <c r="G498" s="8">
        <v>6933</v>
      </c>
      <c r="H498" s="4">
        <f t="shared" si="423"/>
        <v>6933</v>
      </c>
      <c r="I498" s="4">
        <f t="shared" si="424"/>
        <v>0</v>
      </c>
      <c r="J498" s="4">
        <f t="shared" si="425"/>
        <v>0</v>
      </c>
      <c r="K498" s="4">
        <f t="shared" si="426"/>
        <v>0</v>
      </c>
      <c r="L498" s="4">
        <f t="shared" si="427"/>
        <v>0</v>
      </c>
      <c r="M498" s="4">
        <f t="shared" si="428"/>
        <v>0</v>
      </c>
      <c r="N498" s="4">
        <f t="shared" si="429"/>
        <v>0</v>
      </c>
      <c r="O498" s="5">
        <f t="shared" si="430"/>
        <v>15</v>
      </c>
      <c r="P498" s="6" t="str">
        <f t="shared" si="431"/>
        <v>30 Days</v>
      </c>
      <c r="Q498" s="7">
        <v>42855</v>
      </c>
      <c r="R498" s="6" t="str">
        <f>VLOOKUP(A498:A4871,[1]BOM_INV_OPERATOR_DETAILS_OUTPUT!$A$2:$D$1233,4,FALSE)</f>
        <v>AI</v>
      </c>
      <c r="Y498" s="1" t="str">
        <f>"4711243937"</f>
        <v>4711243937</v>
      </c>
    </row>
    <row r="499" spans="1:25" x14ac:dyDescent="0.2">
      <c r="A499" s="9" t="s">
        <v>1267</v>
      </c>
      <c r="B499" s="10">
        <v>42818</v>
      </c>
      <c r="C499" s="9" t="s">
        <v>1268</v>
      </c>
      <c r="D499" s="9" t="s">
        <v>20</v>
      </c>
      <c r="E499" s="9" t="s">
        <v>2190</v>
      </c>
      <c r="F499" s="9">
        <v>1000000</v>
      </c>
      <c r="G499" s="8">
        <v>6956</v>
      </c>
      <c r="H499" s="4">
        <f t="shared" ref="H499:H543" si="432">IF(O499&lt;=30,G499,0)</f>
        <v>0</v>
      </c>
      <c r="I499" s="4">
        <f t="shared" ref="I499:I543" si="433">IF(AND(O499&gt;30,O499&lt;=45),G499,0)</f>
        <v>6956</v>
      </c>
      <c r="J499" s="4">
        <f t="shared" ref="J499:J543" si="434">IF(AND(O499&gt;45,O499&lt;=60),G499,0)</f>
        <v>0</v>
      </c>
      <c r="K499" s="4">
        <f t="shared" ref="K499:K543" si="435">IF(AND(O499&gt;60,O499&lt;=90),G499,0)</f>
        <v>0</v>
      </c>
      <c r="L499" s="4">
        <f t="shared" ref="L499:L543" si="436">IF(AND(O499&gt;90,O499&lt;=120),G499,0)</f>
        <v>0</v>
      </c>
      <c r="M499" s="4">
        <f t="shared" ref="M499:M543" si="437">IF(O499&gt;120,G499,0)</f>
        <v>0</v>
      </c>
      <c r="N499" s="4">
        <f t="shared" ref="N499:N543" si="438">IF(O499&gt;60,G499,0)</f>
        <v>0</v>
      </c>
      <c r="O499" s="5">
        <f t="shared" ref="O499:O543" si="439">Q499-B499</f>
        <v>37</v>
      </c>
      <c r="P499" s="6" t="str">
        <f t="shared" ref="P499:P543" si="440">IF(AND(O499&lt;=30),"30 Days",IF(AND(O499&gt;30,O499&lt;=45),"31 TO 45 Days",IF(AND(O499&gt;45,O499&lt;=60),"46 To 60 Days",IF(AND(O499&gt;60,O499&lt;=90),"61 To 90 Days",IF(AND(O499&gt;90,O499&lt;=120),"91 To 120 Days",IF(AND(O499&gt;120),"Plus120Days",))))))</f>
        <v>31 TO 45 Days</v>
      </c>
      <c r="Q499" s="7">
        <v>42855</v>
      </c>
      <c r="R499" s="6" t="s">
        <v>2178</v>
      </c>
      <c r="V499" s="1" t="s">
        <v>51</v>
      </c>
      <c r="W499" s="2">
        <v>42818</v>
      </c>
      <c r="X499" s="1" t="s">
        <v>1269</v>
      </c>
      <c r="Y499" s="1" t="str">
        <f>"4570270559"</f>
        <v>4570270559</v>
      </c>
    </row>
    <row r="500" spans="1:25" x14ac:dyDescent="0.2">
      <c r="A500" s="9" t="s">
        <v>1166</v>
      </c>
      <c r="B500" s="10">
        <v>42815</v>
      </c>
      <c r="C500" s="9" t="s">
        <v>1167</v>
      </c>
      <c r="D500" s="9" t="s">
        <v>154</v>
      </c>
      <c r="E500" s="9" t="s">
        <v>2190</v>
      </c>
      <c r="F500" s="9">
        <v>0</v>
      </c>
      <c r="G500" s="8">
        <v>6968</v>
      </c>
      <c r="H500" s="4">
        <f t="shared" si="432"/>
        <v>0</v>
      </c>
      <c r="I500" s="4">
        <f t="shared" si="433"/>
        <v>6968</v>
      </c>
      <c r="J500" s="4">
        <f t="shared" si="434"/>
        <v>0</v>
      </c>
      <c r="K500" s="4">
        <f t="shared" si="435"/>
        <v>0</v>
      </c>
      <c r="L500" s="4">
        <f t="shared" si="436"/>
        <v>0</v>
      </c>
      <c r="M500" s="4">
        <f t="shared" si="437"/>
        <v>0</v>
      </c>
      <c r="N500" s="4">
        <f t="shared" si="438"/>
        <v>0</v>
      </c>
      <c r="O500" s="5">
        <f t="shared" si="439"/>
        <v>40</v>
      </c>
      <c r="P500" s="6" t="str">
        <f t="shared" si="440"/>
        <v>31 TO 45 Days</v>
      </c>
      <c r="Q500" s="7">
        <v>42855</v>
      </c>
      <c r="R500" s="6" t="s">
        <v>2178</v>
      </c>
      <c r="Y500" s="1" t="str">
        <f>"4950137142"</f>
        <v>4950137142</v>
      </c>
    </row>
    <row r="501" spans="1:25" x14ac:dyDescent="0.2">
      <c r="A501" s="9" t="s">
        <v>1168</v>
      </c>
      <c r="B501" s="10">
        <v>42815</v>
      </c>
      <c r="C501" s="9" t="s">
        <v>1169</v>
      </c>
      <c r="D501" s="9" t="s">
        <v>154</v>
      </c>
      <c r="E501" s="9" t="s">
        <v>2190</v>
      </c>
      <c r="F501" s="9">
        <v>0</v>
      </c>
      <c r="G501" s="8">
        <v>6968</v>
      </c>
      <c r="H501" s="4">
        <f t="shared" si="432"/>
        <v>0</v>
      </c>
      <c r="I501" s="4">
        <f t="shared" si="433"/>
        <v>6968</v>
      </c>
      <c r="J501" s="4">
        <f t="shared" si="434"/>
        <v>0</v>
      </c>
      <c r="K501" s="4">
        <f t="shared" si="435"/>
        <v>0</v>
      </c>
      <c r="L501" s="4">
        <f t="shared" si="436"/>
        <v>0</v>
      </c>
      <c r="M501" s="4">
        <f t="shared" si="437"/>
        <v>0</v>
      </c>
      <c r="N501" s="4">
        <f t="shared" si="438"/>
        <v>0</v>
      </c>
      <c r="O501" s="5">
        <f t="shared" si="439"/>
        <v>40</v>
      </c>
      <c r="P501" s="6" t="str">
        <f t="shared" si="440"/>
        <v>31 TO 45 Days</v>
      </c>
      <c r="Q501" s="7">
        <v>42855</v>
      </c>
      <c r="R501" s="6" t="s">
        <v>2178</v>
      </c>
      <c r="Y501" s="1" t="str">
        <f>"4950137218"</f>
        <v>4950137218</v>
      </c>
    </row>
    <row r="502" spans="1:25" x14ac:dyDescent="0.2">
      <c r="A502" s="9" t="s">
        <v>1360</v>
      </c>
      <c r="B502" s="10">
        <v>42821</v>
      </c>
      <c r="C502" s="9" t="s">
        <v>1361</v>
      </c>
      <c r="D502" s="9" t="s">
        <v>154</v>
      </c>
      <c r="E502" s="9" t="s">
        <v>2190</v>
      </c>
      <c r="F502" s="9">
        <v>0</v>
      </c>
      <c r="G502" s="8">
        <v>6968</v>
      </c>
      <c r="H502" s="4">
        <f t="shared" si="432"/>
        <v>0</v>
      </c>
      <c r="I502" s="4">
        <f t="shared" si="433"/>
        <v>6968</v>
      </c>
      <c r="J502" s="4">
        <f t="shared" si="434"/>
        <v>0</v>
      </c>
      <c r="K502" s="4">
        <f t="shared" si="435"/>
        <v>0</v>
      </c>
      <c r="L502" s="4">
        <f t="shared" si="436"/>
        <v>0</v>
      </c>
      <c r="M502" s="4">
        <f t="shared" si="437"/>
        <v>0</v>
      </c>
      <c r="N502" s="4">
        <f t="shared" si="438"/>
        <v>0</v>
      </c>
      <c r="O502" s="5">
        <f t="shared" si="439"/>
        <v>34</v>
      </c>
      <c r="P502" s="6" t="str">
        <f t="shared" si="440"/>
        <v>31 TO 45 Days</v>
      </c>
      <c r="Q502" s="7">
        <v>42855</v>
      </c>
      <c r="R502" s="6" t="s">
        <v>2178</v>
      </c>
      <c r="Y502" s="1" t="str">
        <f>"4950137289"</f>
        <v>4950137289</v>
      </c>
    </row>
    <row r="503" spans="1:25" x14ac:dyDescent="0.2">
      <c r="A503" s="9" t="s">
        <v>1050</v>
      </c>
      <c r="B503" s="10">
        <v>42811</v>
      </c>
      <c r="C503" s="9" t="s">
        <v>1051</v>
      </c>
      <c r="D503" s="9" t="s">
        <v>629</v>
      </c>
      <c r="E503" s="9" t="s">
        <v>2190</v>
      </c>
      <c r="F503" s="9">
        <v>2000000</v>
      </c>
      <c r="G503" s="8">
        <v>6986</v>
      </c>
      <c r="H503" s="4">
        <f t="shared" si="432"/>
        <v>0</v>
      </c>
      <c r="I503" s="4">
        <f t="shared" si="433"/>
        <v>6986</v>
      </c>
      <c r="J503" s="4">
        <f t="shared" si="434"/>
        <v>0</v>
      </c>
      <c r="K503" s="4">
        <f t="shared" si="435"/>
        <v>0</v>
      </c>
      <c r="L503" s="4">
        <f t="shared" si="436"/>
        <v>0</v>
      </c>
      <c r="M503" s="4">
        <f t="shared" si="437"/>
        <v>0</v>
      </c>
      <c r="N503" s="4">
        <f t="shared" si="438"/>
        <v>0</v>
      </c>
      <c r="O503" s="5">
        <f t="shared" si="439"/>
        <v>44</v>
      </c>
      <c r="P503" s="6" t="str">
        <f t="shared" si="440"/>
        <v>31 TO 45 Days</v>
      </c>
      <c r="Q503" s="7">
        <v>42855</v>
      </c>
      <c r="R503" s="6" t="s">
        <v>2178</v>
      </c>
      <c r="Y503" s="1" t="str">
        <f>"4200121361"</f>
        <v>4200121361</v>
      </c>
    </row>
    <row r="504" spans="1:25" x14ac:dyDescent="0.2">
      <c r="A504" s="9" t="s">
        <v>760</v>
      </c>
      <c r="B504" s="10">
        <v>42793</v>
      </c>
      <c r="C504" s="9" t="s">
        <v>761</v>
      </c>
      <c r="D504" s="9" t="s">
        <v>154</v>
      </c>
      <c r="E504" s="9" t="s">
        <v>2190</v>
      </c>
      <c r="F504" s="9">
        <v>0</v>
      </c>
      <c r="G504" s="8">
        <v>7003</v>
      </c>
      <c r="H504" s="4">
        <f t="shared" si="432"/>
        <v>0</v>
      </c>
      <c r="I504" s="4">
        <f t="shared" si="433"/>
        <v>0</v>
      </c>
      <c r="J504" s="4">
        <f t="shared" si="434"/>
        <v>0</v>
      </c>
      <c r="K504" s="4">
        <f t="shared" si="435"/>
        <v>7003</v>
      </c>
      <c r="L504" s="4">
        <f t="shared" si="436"/>
        <v>0</v>
      </c>
      <c r="M504" s="4">
        <f t="shared" si="437"/>
        <v>0</v>
      </c>
      <c r="N504" s="4">
        <f t="shared" si="438"/>
        <v>7003</v>
      </c>
      <c r="O504" s="5">
        <f t="shared" si="439"/>
        <v>62</v>
      </c>
      <c r="P504" s="6" t="str">
        <f t="shared" si="440"/>
        <v>61 To 90 Days</v>
      </c>
      <c r="Q504" s="7">
        <v>42855</v>
      </c>
      <c r="R504" s="6" t="s">
        <v>2178</v>
      </c>
      <c r="Y504" s="1" t="str">
        <f>"4950136931"</f>
        <v>4950136931</v>
      </c>
    </row>
    <row r="505" spans="1:25" x14ac:dyDescent="0.2">
      <c r="A505" s="9" t="s">
        <v>1976</v>
      </c>
      <c r="B505" s="10">
        <v>42836</v>
      </c>
      <c r="C505" s="9" t="s">
        <v>1977</v>
      </c>
      <c r="D505" s="9" t="s">
        <v>148</v>
      </c>
      <c r="E505" s="9" t="s">
        <v>2190</v>
      </c>
      <c r="F505" s="9">
        <v>500000</v>
      </c>
      <c r="G505" s="8">
        <v>7017</v>
      </c>
      <c r="H505" s="4">
        <f t="shared" si="432"/>
        <v>7017</v>
      </c>
      <c r="I505" s="4">
        <f t="shared" si="433"/>
        <v>0</v>
      </c>
      <c r="J505" s="4">
        <f t="shared" si="434"/>
        <v>0</v>
      </c>
      <c r="K505" s="4">
        <f t="shared" si="435"/>
        <v>0</v>
      </c>
      <c r="L505" s="4">
        <f t="shared" si="436"/>
        <v>0</v>
      </c>
      <c r="M505" s="4">
        <f t="shared" si="437"/>
        <v>0</v>
      </c>
      <c r="N505" s="4">
        <f t="shared" si="438"/>
        <v>0</v>
      </c>
      <c r="O505" s="5">
        <f t="shared" si="439"/>
        <v>19</v>
      </c>
      <c r="P505" s="6" t="str">
        <f t="shared" si="440"/>
        <v>30 Days</v>
      </c>
      <c r="Q505" s="7">
        <v>42855</v>
      </c>
      <c r="R505" s="6" t="s">
        <v>2178</v>
      </c>
      <c r="Y505" s="1" t="str">
        <f>"4750389875"</f>
        <v>4750389875</v>
      </c>
    </row>
    <row r="506" spans="1:25" x14ac:dyDescent="0.2">
      <c r="A506" s="9" t="s">
        <v>1479</v>
      </c>
      <c r="B506" s="10">
        <v>42824</v>
      </c>
      <c r="C506" s="9" t="s">
        <v>1480</v>
      </c>
      <c r="D506" s="9" t="s">
        <v>30</v>
      </c>
      <c r="E506" s="9" t="s">
        <v>2190</v>
      </c>
      <c r="F506" s="9">
        <v>700000</v>
      </c>
      <c r="G506" s="8">
        <v>7030</v>
      </c>
      <c r="H506" s="4">
        <f t="shared" si="432"/>
        <v>0</v>
      </c>
      <c r="I506" s="4">
        <f t="shared" si="433"/>
        <v>7030</v>
      </c>
      <c r="J506" s="4">
        <f t="shared" si="434"/>
        <v>0</v>
      </c>
      <c r="K506" s="4">
        <f t="shared" si="435"/>
        <v>0</v>
      </c>
      <c r="L506" s="4">
        <f t="shared" si="436"/>
        <v>0</v>
      </c>
      <c r="M506" s="4">
        <f t="shared" si="437"/>
        <v>0</v>
      </c>
      <c r="N506" s="4">
        <f t="shared" si="438"/>
        <v>0</v>
      </c>
      <c r="O506" s="5">
        <f t="shared" si="439"/>
        <v>31</v>
      </c>
      <c r="P506" s="6" t="str">
        <f t="shared" si="440"/>
        <v>31 TO 45 Days</v>
      </c>
      <c r="Q506" s="7">
        <v>42855</v>
      </c>
      <c r="R506" s="6" t="s">
        <v>2178</v>
      </c>
      <c r="Y506" s="1" t="str">
        <f>"4600158521"</f>
        <v>4600158521</v>
      </c>
    </row>
    <row r="507" spans="1:25" x14ac:dyDescent="0.2">
      <c r="A507" s="9" t="s">
        <v>1900</v>
      </c>
      <c r="B507" s="10">
        <v>42835</v>
      </c>
      <c r="C507" s="9" t="s">
        <v>1901</v>
      </c>
      <c r="D507" s="9" t="s">
        <v>144</v>
      </c>
      <c r="E507" s="9" t="s">
        <v>2190</v>
      </c>
      <c r="F507" s="9">
        <v>2300000</v>
      </c>
      <c r="G507" s="8">
        <v>7041</v>
      </c>
      <c r="H507" s="4">
        <f t="shared" si="432"/>
        <v>7041</v>
      </c>
      <c r="I507" s="4">
        <f t="shared" si="433"/>
        <v>0</v>
      </c>
      <c r="J507" s="4">
        <f t="shared" si="434"/>
        <v>0</v>
      </c>
      <c r="K507" s="4">
        <f t="shared" si="435"/>
        <v>0</v>
      </c>
      <c r="L507" s="4">
        <f t="shared" si="436"/>
        <v>0</v>
      </c>
      <c r="M507" s="4">
        <f t="shared" si="437"/>
        <v>0</v>
      </c>
      <c r="N507" s="4">
        <f t="shared" si="438"/>
        <v>0</v>
      </c>
      <c r="O507" s="5">
        <f t="shared" si="439"/>
        <v>20</v>
      </c>
      <c r="P507" s="6" t="str">
        <f t="shared" si="440"/>
        <v>30 Days</v>
      </c>
      <c r="Q507" s="7">
        <v>42855</v>
      </c>
      <c r="R507" s="6" t="str">
        <f>VLOOKUP(A507:A4897,[1]BOM_INV_OPERATOR_DETAILS_OUTPUT!$A$2:$D$1233,4,FALSE)</f>
        <v>AI</v>
      </c>
      <c r="Y507" s="1" t="str">
        <f>"4912914326"</f>
        <v>4912914326</v>
      </c>
    </row>
    <row r="508" spans="1:25" x14ac:dyDescent="0.2">
      <c r="A508" s="9" t="s">
        <v>363</v>
      </c>
      <c r="B508" s="10">
        <v>42756</v>
      </c>
      <c r="C508" s="9" t="s">
        <v>364</v>
      </c>
      <c r="D508" s="9" t="s">
        <v>154</v>
      </c>
      <c r="E508" s="9" t="s">
        <v>2190</v>
      </c>
      <c r="F508" s="9">
        <v>0</v>
      </c>
      <c r="G508" s="8">
        <v>7044</v>
      </c>
      <c r="H508" s="4">
        <f t="shared" si="432"/>
        <v>0</v>
      </c>
      <c r="I508" s="4">
        <f t="shared" si="433"/>
        <v>0</v>
      </c>
      <c r="J508" s="4">
        <f t="shared" si="434"/>
        <v>0</v>
      </c>
      <c r="K508" s="4">
        <f t="shared" si="435"/>
        <v>0</v>
      </c>
      <c r="L508" s="4">
        <f t="shared" si="436"/>
        <v>7044</v>
      </c>
      <c r="M508" s="4">
        <f t="shared" si="437"/>
        <v>0</v>
      </c>
      <c r="N508" s="4">
        <f t="shared" si="438"/>
        <v>7044</v>
      </c>
      <c r="O508" s="5">
        <f t="shared" si="439"/>
        <v>99</v>
      </c>
      <c r="P508" s="6" t="str">
        <f t="shared" si="440"/>
        <v>91 To 120 Days</v>
      </c>
      <c r="Q508" s="7">
        <v>42855</v>
      </c>
      <c r="R508" s="6" t="s">
        <v>2178</v>
      </c>
      <c r="Y508" s="1" t="str">
        <f>"4950136579"</f>
        <v>4950136579</v>
      </c>
    </row>
    <row r="509" spans="1:25" x14ac:dyDescent="0.2">
      <c r="A509" s="9" t="s">
        <v>1827</v>
      </c>
      <c r="B509" s="10">
        <v>42835</v>
      </c>
      <c r="C509" s="9" t="s">
        <v>1828</v>
      </c>
      <c r="D509" s="9" t="s">
        <v>746</v>
      </c>
      <c r="E509" s="9" t="s">
        <v>2190</v>
      </c>
      <c r="F509" s="9">
        <v>500000</v>
      </c>
      <c r="G509" s="8">
        <v>7055</v>
      </c>
      <c r="H509" s="4">
        <f t="shared" si="432"/>
        <v>7055</v>
      </c>
      <c r="I509" s="4">
        <f t="shared" si="433"/>
        <v>0</v>
      </c>
      <c r="J509" s="4">
        <f t="shared" si="434"/>
        <v>0</v>
      </c>
      <c r="K509" s="4">
        <f t="shared" si="435"/>
        <v>0</v>
      </c>
      <c r="L509" s="4">
        <f t="shared" si="436"/>
        <v>0</v>
      </c>
      <c r="M509" s="4">
        <f t="shared" si="437"/>
        <v>0</v>
      </c>
      <c r="N509" s="4">
        <f t="shared" si="438"/>
        <v>0</v>
      </c>
      <c r="O509" s="5">
        <f t="shared" si="439"/>
        <v>20</v>
      </c>
      <c r="P509" s="6" t="str">
        <f t="shared" si="440"/>
        <v>30 Days</v>
      </c>
      <c r="Q509" s="7">
        <v>42855</v>
      </c>
      <c r="R509" s="6" t="s">
        <v>2178</v>
      </c>
      <c r="Y509" s="1" t="str">
        <f>"4711242954"</f>
        <v>4711242954</v>
      </c>
    </row>
    <row r="510" spans="1:25" x14ac:dyDescent="0.2">
      <c r="A510" s="9" t="s">
        <v>294</v>
      </c>
      <c r="B510" s="10">
        <v>42746</v>
      </c>
      <c r="C510" s="9" t="s">
        <v>295</v>
      </c>
      <c r="D510" s="9" t="s">
        <v>270</v>
      </c>
      <c r="E510" s="9" t="s">
        <v>2190</v>
      </c>
      <c r="F510" s="9">
        <v>0</v>
      </c>
      <c r="G510" s="8">
        <v>7056</v>
      </c>
      <c r="H510" s="4">
        <f t="shared" si="432"/>
        <v>0</v>
      </c>
      <c r="I510" s="4">
        <f t="shared" si="433"/>
        <v>0</v>
      </c>
      <c r="J510" s="4">
        <f t="shared" si="434"/>
        <v>0</v>
      </c>
      <c r="K510" s="4">
        <f t="shared" si="435"/>
        <v>0</v>
      </c>
      <c r="L510" s="4">
        <f t="shared" si="436"/>
        <v>7056</v>
      </c>
      <c r="M510" s="4">
        <f t="shared" si="437"/>
        <v>0</v>
      </c>
      <c r="N510" s="4">
        <f t="shared" si="438"/>
        <v>7056</v>
      </c>
      <c r="O510" s="5">
        <f t="shared" si="439"/>
        <v>109</v>
      </c>
      <c r="P510" s="6" t="str">
        <f t="shared" si="440"/>
        <v>91 To 120 Days</v>
      </c>
      <c r="Q510" s="7">
        <v>42855</v>
      </c>
      <c r="R510" s="6" t="s">
        <v>2178</v>
      </c>
      <c r="Y510" s="1" t="str">
        <f>"4560216177"</f>
        <v>4560216177</v>
      </c>
    </row>
    <row r="511" spans="1:25" x14ac:dyDescent="0.2">
      <c r="A511" s="9" t="s">
        <v>2159</v>
      </c>
      <c r="B511" s="10">
        <v>42840</v>
      </c>
      <c r="C511" s="9" t="s">
        <v>2160</v>
      </c>
      <c r="D511" s="9" t="s">
        <v>2158</v>
      </c>
      <c r="E511" s="9" t="s">
        <v>2190</v>
      </c>
      <c r="F511" s="9">
        <v>0</v>
      </c>
      <c r="G511" s="8">
        <v>7061</v>
      </c>
      <c r="H511" s="4">
        <f t="shared" si="432"/>
        <v>7061</v>
      </c>
      <c r="I511" s="4">
        <f t="shared" si="433"/>
        <v>0</v>
      </c>
      <c r="J511" s="4">
        <f t="shared" si="434"/>
        <v>0</v>
      </c>
      <c r="K511" s="4">
        <f t="shared" si="435"/>
        <v>0</v>
      </c>
      <c r="L511" s="4">
        <f t="shared" si="436"/>
        <v>0</v>
      </c>
      <c r="M511" s="4">
        <f t="shared" si="437"/>
        <v>0</v>
      </c>
      <c r="N511" s="4">
        <f t="shared" si="438"/>
        <v>0</v>
      </c>
      <c r="O511" s="5">
        <f t="shared" si="439"/>
        <v>15</v>
      </c>
      <c r="P511" s="6" t="str">
        <f t="shared" si="440"/>
        <v>30 Days</v>
      </c>
      <c r="Q511" s="7">
        <v>42855</v>
      </c>
      <c r="R511" s="6" t="str">
        <f>VLOOKUP(A511:A4903,[1]BOM_INV_OPERATOR_DETAILS_OUTPUT!$A$2:$D$1233,4,FALSE)</f>
        <v>AI</v>
      </c>
      <c r="Y511" s="1" t="str">
        <f>"410291812"</f>
        <v>410291812</v>
      </c>
    </row>
    <row r="512" spans="1:25" x14ac:dyDescent="0.2">
      <c r="A512" s="9" t="s">
        <v>2026</v>
      </c>
      <c r="B512" s="10">
        <v>42837</v>
      </c>
      <c r="C512" s="9" t="s">
        <v>2027</v>
      </c>
      <c r="D512" s="9" t="s">
        <v>2025</v>
      </c>
      <c r="E512" s="9" t="s">
        <v>2190</v>
      </c>
      <c r="F512" s="9">
        <v>0</v>
      </c>
      <c r="G512" s="8">
        <v>7061</v>
      </c>
      <c r="H512" s="4">
        <f t="shared" si="432"/>
        <v>7061</v>
      </c>
      <c r="I512" s="4">
        <f t="shared" si="433"/>
        <v>0</v>
      </c>
      <c r="J512" s="4">
        <f t="shared" si="434"/>
        <v>0</v>
      </c>
      <c r="K512" s="4">
        <f t="shared" si="435"/>
        <v>0</v>
      </c>
      <c r="L512" s="4">
        <f t="shared" si="436"/>
        <v>0</v>
      </c>
      <c r="M512" s="4">
        <f t="shared" si="437"/>
        <v>0</v>
      </c>
      <c r="N512" s="4">
        <f t="shared" si="438"/>
        <v>0</v>
      </c>
      <c r="O512" s="5">
        <f t="shared" si="439"/>
        <v>18</v>
      </c>
      <c r="P512" s="6" t="str">
        <f t="shared" si="440"/>
        <v>30 Days</v>
      </c>
      <c r="Q512" s="7">
        <v>42855</v>
      </c>
      <c r="R512" s="6" t="str">
        <f>VLOOKUP(A512:A4904,[1]BOM_INV_OPERATOR_DETAILS_OUTPUT!$A$2:$D$1233,4,FALSE)</f>
        <v>AI</v>
      </c>
      <c r="Y512" s="1" t="str">
        <f>"4240074503"</f>
        <v>4240074503</v>
      </c>
    </row>
    <row r="513" spans="1:25" x14ac:dyDescent="0.2">
      <c r="A513" s="9" t="s">
        <v>609</v>
      </c>
      <c r="B513" s="10">
        <v>42783</v>
      </c>
      <c r="C513" s="9" t="s">
        <v>610</v>
      </c>
      <c r="D513" s="9" t="s">
        <v>608</v>
      </c>
      <c r="E513" s="9" t="s">
        <v>2190</v>
      </c>
      <c r="F513" s="9">
        <v>0</v>
      </c>
      <c r="G513" s="8">
        <v>7061</v>
      </c>
      <c r="H513" s="4">
        <f t="shared" si="432"/>
        <v>0</v>
      </c>
      <c r="I513" s="4">
        <f t="shared" si="433"/>
        <v>0</v>
      </c>
      <c r="J513" s="4">
        <f t="shared" si="434"/>
        <v>0</v>
      </c>
      <c r="K513" s="4">
        <f t="shared" si="435"/>
        <v>7061</v>
      </c>
      <c r="L513" s="4">
        <f t="shared" si="436"/>
        <v>0</v>
      </c>
      <c r="M513" s="4">
        <f t="shared" si="437"/>
        <v>0</v>
      </c>
      <c r="N513" s="4">
        <f t="shared" si="438"/>
        <v>7061</v>
      </c>
      <c r="O513" s="5">
        <f t="shared" si="439"/>
        <v>72</v>
      </c>
      <c r="P513" s="6" t="str">
        <f t="shared" si="440"/>
        <v>61 To 90 Days</v>
      </c>
      <c r="Q513" s="7">
        <v>42855</v>
      </c>
      <c r="R513" s="6" t="s">
        <v>2178</v>
      </c>
      <c r="Y513" s="1" t="str">
        <f>"4711229028"</f>
        <v>4711229028</v>
      </c>
    </row>
    <row r="514" spans="1:25" x14ac:dyDescent="0.2">
      <c r="A514" s="9" t="s">
        <v>1916</v>
      </c>
      <c r="B514" s="10">
        <v>42835</v>
      </c>
      <c r="C514" s="9" t="s">
        <v>1917</v>
      </c>
      <c r="D514" s="9" t="s">
        <v>1915</v>
      </c>
      <c r="E514" s="9" t="s">
        <v>2190</v>
      </c>
      <c r="F514" s="9">
        <v>0</v>
      </c>
      <c r="G514" s="8">
        <v>7061</v>
      </c>
      <c r="H514" s="4">
        <f t="shared" si="432"/>
        <v>7061</v>
      </c>
      <c r="I514" s="4">
        <f t="shared" si="433"/>
        <v>0</v>
      </c>
      <c r="J514" s="4">
        <f t="shared" si="434"/>
        <v>0</v>
      </c>
      <c r="K514" s="4">
        <f t="shared" si="435"/>
        <v>0</v>
      </c>
      <c r="L514" s="4">
        <f t="shared" si="436"/>
        <v>0</v>
      </c>
      <c r="M514" s="4">
        <f t="shared" si="437"/>
        <v>0</v>
      </c>
      <c r="N514" s="4">
        <f t="shared" si="438"/>
        <v>0</v>
      </c>
      <c r="O514" s="5">
        <f t="shared" si="439"/>
        <v>20</v>
      </c>
      <c r="P514" s="6" t="str">
        <f t="shared" si="440"/>
        <v>30 Days</v>
      </c>
      <c r="Q514" s="7">
        <v>42855</v>
      </c>
      <c r="R514" s="6" t="str">
        <f>VLOOKUP(A514:A4906,[1]BOM_INV_OPERATOR_DETAILS_OUTPUT!$A$2:$D$1233,4,FALSE)</f>
        <v>AI</v>
      </c>
      <c r="Y514" s="1" t="str">
        <f>"4300212960"</f>
        <v>4300212960</v>
      </c>
    </row>
    <row r="515" spans="1:25" x14ac:dyDescent="0.2">
      <c r="A515" s="9" t="s">
        <v>2040</v>
      </c>
      <c r="B515" s="10">
        <v>42837</v>
      </c>
      <c r="C515" s="9" t="s">
        <v>2041</v>
      </c>
      <c r="D515" s="9" t="s">
        <v>2039</v>
      </c>
      <c r="E515" s="9" t="s">
        <v>2190</v>
      </c>
      <c r="F515" s="9">
        <v>0</v>
      </c>
      <c r="G515" s="8">
        <v>7061</v>
      </c>
      <c r="H515" s="4">
        <f t="shared" si="432"/>
        <v>7061</v>
      </c>
      <c r="I515" s="4">
        <f t="shared" si="433"/>
        <v>0</v>
      </c>
      <c r="J515" s="4">
        <f t="shared" si="434"/>
        <v>0</v>
      </c>
      <c r="K515" s="4">
        <f t="shared" si="435"/>
        <v>0</v>
      </c>
      <c r="L515" s="4">
        <f t="shared" si="436"/>
        <v>0</v>
      </c>
      <c r="M515" s="4">
        <f t="shared" si="437"/>
        <v>0</v>
      </c>
      <c r="N515" s="4">
        <f t="shared" si="438"/>
        <v>0</v>
      </c>
      <c r="O515" s="5">
        <f t="shared" si="439"/>
        <v>18</v>
      </c>
      <c r="P515" s="6" t="str">
        <f t="shared" si="440"/>
        <v>30 Days</v>
      </c>
      <c r="Q515" s="7">
        <v>42855</v>
      </c>
      <c r="R515" s="6" t="str">
        <f>VLOOKUP(A515:A4907,[1]BOM_INV_OPERATOR_DETAILS_OUTPUT!$A$2:$D$1233,4,FALSE)</f>
        <v>AI</v>
      </c>
      <c r="Y515" s="1" t="str">
        <f>"422350052"</f>
        <v>422350052</v>
      </c>
    </row>
    <row r="516" spans="1:25" x14ac:dyDescent="0.2">
      <c r="A516" s="9" t="s">
        <v>303</v>
      </c>
      <c r="B516" s="10">
        <v>42747</v>
      </c>
      <c r="C516" s="9" t="s">
        <v>304</v>
      </c>
      <c r="D516" s="9" t="s">
        <v>302</v>
      </c>
      <c r="E516" s="9" t="s">
        <v>2190</v>
      </c>
      <c r="F516" s="9">
        <v>0</v>
      </c>
      <c r="G516" s="8">
        <v>7061</v>
      </c>
      <c r="H516" s="4">
        <f t="shared" si="432"/>
        <v>0</v>
      </c>
      <c r="I516" s="4">
        <f t="shared" si="433"/>
        <v>0</v>
      </c>
      <c r="J516" s="4">
        <f t="shared" si="434"/>
        <v>0</v>
      </c>
      <c r="K516" s="4">
        <f t="shared" si="435"/>
        <v>0</v>
      </c>
      <c r="L516" s="4">
        <f t="shared" si="436"/>
        <v>7061</v>
      </c>
      <c r="M516" s="4">
        <f t="shared" si="437"/>
        <v>0</v>
      </c>
      <c r="N516" s="4">
        <f t="shared" si="438"/>
        <v>7061</v>
      </c>
      <c r="O516" s="5">
        <f t="shared" si="439"/>
        <v>108</v>
      </c>
      <c r="P516" s="6" t="str">
        <f t="shared" si="440"/>
        <v>91 To 120 Days</v>
      </c>
      <c r="Q516" s="7">
        <v>42855</v>
      </c>
      <c r="R516" s="6" t="s">
        <v>2178</v>
      </c>
      <c r="Y516" s="1" t="str">
        <f>"4540129328"</f>
        <v>4540129328</v>
      </c>
    </row>
    <row r="517" spans="1:25" x14ac:dyDescent="0.2">
      <c r="A517" s="9" t="s">
        <v>2113</v>
      </c>
      <c r="B517" s="10">
        <v>42838</v>
      </c>
      <c r="C517" s="9" t="s">
        <v>2114</v>
      </c>
      <c r="D517" s="9" t="s">
        <v>2112</v>
      </c>
      <c r="E517" s="9" t="s">
        <v>2190</v>
      </c>
      <c r="F517" s="9">
        <v>0</v>
      </c>
      <c r="G517" s="8">
        <v>7061</v>
      </c>
      <c r="H517" s="4">
        <f t="shared" si="432"/>
        <v>7061</v>
      </c>
      <c r="I517" s="4">
        <f t="shared" si="433"/>
        <v>0</v>
      </c>
      <c r="J517" s="4">
        <f t="shared" si="434"/>
        <v>0</v>
      </c>
      <c r="K517" s="4">
        <f t="shared" si="435"/>
        <v>0</v>
      </c>
      <c r="L517" s="4">
        <f t="shared" si="436"/>
        <v>0</v>
      </c>
      <c r="M517" s="4">
        <f t="shared" si="437"/>
        <v>0</v>
      </c>
      <c r="N517" s="4">
        <f t="shared" si="438"/>
        <v>0</v>
      </c>
      <c r="O517" s="5">
        <f t="shared" si="439"/>
        <v>17</v>
      </c>
      <c r="P517" s="6" t="str">
        <f t="shared" si="440"/>
        <v>30 Days</v>
      </c>
      <c r="Q517" s="7">
        <v>42855</v>
      </c>
      <c r="R517" s="6" t="str">
        <f>VLOOKUP(A517:A4909,[1]BOM_INV_OPERATOR_DETAILS_OUTPUT!$A$2:$D$1233,4,FALSE)</f>
        <v>AI</v>
      </c>
      <c r="Y517" s="1" t="str">
        <f>"4940189793"</f>
        <v>4940189793</v>
      </c>
    </row>
    <row r="518" spans="1:25" x14ac:dyDescent="0.2">
      <c r="A518" s="9" t="s">
        <v>2135</v>
      </c>
      <c r="B518" s="10">
        <v>42840</v>
      </c>
      <c r="C518" s="9" t="s">
        <v>2136</v>
      </c>
      <c r="D518" s="9" t="s">
        <v>2134</v>
      </c>
      <c r="E518" s="9" t="s">
        <v>2190</v>
      </c>
      <c r="F518" s="9">
        <v>0</v>
      </c>
      <c r="G518" s="8">
        <v>7061</v>
      </c>
      <c r="H518" s="4">
        <f t="shared" si="432"/>
        <v>7061</v>
      </c>
      <c r="I518" s="4">
        <f t="shared" si="433"/>
        <v>0</v>
      </c>
      <c r="J518" s="4">
        <f t="shared" si="434"/>
        <v>0</v>
      </c>
      <c r="K518" s="4">
        <f t="shared" si="435"/>
        <v>0</v>
      </c>
      <c r="L518" s="4">
        <f t="shared" si="436"/>
        <v>0</v>
      </c>
      <c r="M518" s="4">
        <f t="shared" si="437"/>
        <v>0</v>
      </c>
      <c r="N518" s="4">
        <f t="shared" si="438"/>
        <v>0</v>
      </c>
      <c r="O518" s="5">
        <f t="shared" si="439"/>
        <v>15</v>
      </c>
      <c r="P518" s="6" t="str">
        <f t="shared" si="440"/>
        <v>30 Days</v>
      </c>
      <c r="Q518" s="7">
        <v>42855</v>
      </c>
      <c r="R518" s="6" t="str">
        <f>VLOOKUP(A518:A4910,[1]BOM_INV_OPERATOR_DETAILS_OUTPUT!$A$2:$D$1233,4,FALSE)</f>
        <v>AI</v>
      </c>
      <c r="Y518" s="1" t="str">
        <f>"410291789"</f>
        <v>410291789</v>
      </c>
    </row>
    <row r="519" spans="1:25" x14ac:dyDescent="0.2">
      <c r="A519" s="9" t="s">
        <v>2108</v>
      </c>
      <c r="B519" s="10">
        <v>42838</v>
      </c>
      <c r="C519" s="9" t="s">
        <v>2109</v>
      </c>
      <c r="D519" s="9" t="s">
        <v>2107</v>
      </c>
      <c r="E519" s="9" t="s">
        <v>2190</v>
      </c>
      <c r="F519" s="9">
        <v>0</v>
      </c>
      <c r="G519" s="8">
        <v>7061</v>
      </c>
      <c r="H519" s="4">
        <f t="shared" si="432"/>
        <v>7061</v>
      </c>
      <c r="I519" s="4">
        <f t="shared" si="433"/>
        <v>0</v>
      </c>
      <c r="J519" s="4">
        <f t="shared" si="434"/>
        <v>0</v>
      </c>
      <c r="K519" s="4">
        <f t="shared" si="435"/>
        <v>0</v>
      </c>
      <c r="L519" s="4">
        <f t="shared" si="436"/>
        <v>0</v>
      </c>
      <c r="M519" s="4">
        <f t="shared" si="437"/>
        <v>0</v>
      </c>
      <c r="N519" s="4">
        <f t="shared" si="438"/>
        <v>0</v>
      </c>
      <c r="O519" s="5">
        <f t="shared" si="439"/>
        <v>17</v>
      </c>
      <c r="P519" s="6" t="str">
        <f t="shared" si="440"/>
        <v>30 Days</v>
      </c>
      <c r="Q519" s="7">
        <v>42855</v>
      </c>
      <c r="R519" s="6" t="str">
        <f>VLOOKUP(A519:A4911,[1]BOM_INV_OPERATOR_DETAILS_OUTPUT!$A$2:$D$1233,4,FALSE)</f>
        <v>AI</v>
      </c>
      <c r="Y519" s="1" t="str">
        <f>"4912922005"</f>
        <v>4912922005</v>
      </c>
    </row>
    <row r="520" spans="1:25" x14ac:dyDescent="0.2">
      <c r="A520" s="9" t="s">
        <v>1682</v>
      </c>
      <c r="B520" s="10">
        <v>42830</v>
      </c>
      <c r="C520" s="9" t="s">
        <v>1683</v>
      </c>
      <c r="D520" s="9" t="s">
        <v>1681</v>
      </c>
      <c r="E520" s="9" t="s">
        <v>2190</v>
      </c>
      <c r="F520" s="9" t="e">
        <v>#N/A</v>
      </c>
      <c r="G520" s="8">
        <v>7061</v>
      </c>
      <c r="H520" s="4">
        <f t="shared" si="432"/>
        <v>7061</v>
      </c>
      <c r="I520" s="4">
        <f t="shared" si="433"/>
        <v>0</v>
      </c>
      <c r="J520" s="4">
        <f t="shared" si="434"/>
        <v>0</v>
      </c>
      <c r="K520" s="4">
        <f t="shared" si="435"/>
        <v>0</v>
      </c>
      <c r="L520" s="4">
        <f t="shared" si="436"/>
        <v>0</v>
      </c>
      <c r="M520" s="4">
        <f t="shared" si="437"/>
        <v>0</v>
      </c>
      <c r="N520" s="4">
        <f t="shared" si="438"/>
        <v>0</v>
      </c>
      <c r="O520" s="5">
        <f t="shared" si="439"/>
        <v>25</v>
      </c>
      <c r="P520" s="6" t="str">
        <f t="shared" si="440"/>
        <v>30 Days</v>
      </c>
      <c r="Q520" s="7">
        <v>42855</v>
      </c>
      <c r="R520" s="6" t="s">
        <v>2178</v>
      </c>
      <c r="Y520" s="1" t="str">
        <f>"4480471260"</f>
        <v>4480471260</v>
      </c>
    </row>
    <row r="521" spans="1:25" x14ac:dyDescent="0.2">
      <c r="A521" s="9" t="s">
        <v>2076</v>
      </c>
      <c r="B521" s="10">
        <v>42838</v>
      </c>
      <c r="C521" s="9" t="s">
        <v>2077</v>
      </c>
      <c r="D521" s="9" t="s">
        <v>2075</v>
      </c>
      <c r="E521" s="9" t="s">
        <v>2190</v>
      </c>
      <c r="F521" s="9">
        <v>0</v>
      </c>
      <c r="G521" s="8">
        <v>7061</v>
      </c>
      <c r="H521" s="4">
        <f t="shared" si="432"/>
        <v>7061</v>
      </c>
      <c r="I521" s="4">
        <f t="shared" si="433"/>
        <v>0</v>
      </c>
      <c r="J521" s="4">
        <f t="shared" si="434"/>
        <v>0</v>
      </c>
      <c r="K521" s="4">
        <f t="shared" si="435"/>
        <v>0</v>
      </c>
      <c r="L521" s="4">
        <f t="shared" si="436"/>
        <v>0</v>
      </c>
      <c r="M521" s="4">
        <f t="shared" si="437"/>
        <v>0</v>
      </c>
      <c r="N521" s="4">
        <f t="shared" si="438"/>
        <v>0</v>
      </c>
      <c r="O521" s="5">
        <f t="shared" si="439"/>
        <v>17</v>
      </c>
      <c r="P521" s="6" t="str">
        <f t="shared" si="440"/>
        <v>30 Days</v>
      </c>
      <c r="Q521" s="7">
        <v>42855</v>
      </c>
      <c r="R521" s="6" t="str">
        <f>VLOOKUP(A521:A4913,[1]BOM_INV_OPERATOR_DETAILS_OUTPUT!$A$2:$D$1233,4,FALSE)</f>
        <v>AI</v>
      </c>
      <c r="Y521" s="1" t="str">
        <f>"4080254177"</f>
        <v>4080254177</v>
      </c>
    </row>
    <row r="522" spans="1:25" x14ac:dyDescent="0.2">
      <c r="A522" s="9" t="s">
        <v>1043</v>
      </c>
      <c r="B522" s="10">
        <v>42810</v>
      </c>
      <c r="C522" s="9" t="s">
        <v>1044</v>
      </c>
      <c r="D522" s="9" t="s">
        <v>133</v>
      </c>
      <c r="E522" s="9" t="s">
        <v>2190</v>
      </c>
      <c r="F522" s="9">
        <v>20000000</v>
      </c>
      <c r="G522" s="8">
        <v>7061</v>
      </c>
      <c r="H522" s="4">
        <f t="shared" si="432"/>
        <v>0</v>
      </c>
      <c r="I522" s="4">
        <f t="shared" si="433"/>
        <v>7061</v>
      </c>
      <c r="J522" s="4">
        <f t="shared" si="434"/>
        <v>0</v>
      </c>
      <c r="K522" s="4">
        <f t="shared" si="435"/>
        <v>0</v>
      </c>
      <c r="L522" s="4">
        <f t="shared" si="436"/>
        <v>0</v>
      </c>
      <c r="M522" s="4">
        <f t="shared" si="437"/>
        <v>0</v>
      </c>
      <c r="N522" s="4">
        <f t="shared" si="438"/>
        <v>0</v>
      </c>
      <c r="O522" s="5">
        <f t="shared" si="439"/>
        <v>45</v>
      </c>
      <c r="P522" s="6" t="str">
        <f t="shared" si="440"/>
        <v>31 TO 45 Days</v>
      </c>
      <c r="Q522" s="7">
        <v>42855</v>
      </c>
      <c r="R522" s="6" t="s">
        <v>2178</v>
      </c>
      <c r="V522" s="1" t="s">
        <v>13</v>
      </c>
      <c r="W522" s="2">
        <v>42810</v>
      </c>
      <c r="X522" s="1" t="s">
        <v>14</v>
      </c>
      <c r="Y522" s="1" t="str">
        <f>"417345814"</f>
        <v>417345814</v>
      </c>
    </row>
    <row r="523" spans="1:25" x14ac:dyDescent="0.2">
      <c r="A523" s="9" t="s">
        <v>2043</v>
      </c>
      <c r="B523" s="10">
        <v>42837</v>
      </c>
      <c r="C523" s="9" t="s">
        <v>2044</v>
      </c>
      <c r="D523" s="9" t="s">
        <v>2042</v>
      </c>
      <c r="E523" s="9" t="s">
        <v>2190</v>
      </c>
      <c r="F523" s="9">
        <v>0</v>
      </c>
      <c r="G523" s="8">
        <v>7061</v>
      </c>
      <c r="H523" s="4">
        <f t="shared" si="432"/>
        <v>7061</v>
      </c>
      <c r="I523" s="4">
        <f t="shared" si="433"/>
        <v>0</v>
      </c>
      <c r="J523" s="4">
        <f t="shared" si="434"/>
        <v>0</v>
      </c>
      <c r="K523" s="4">
        <f t="shared" si="435"/>
        <v>0</v>
      </c>
      <c r="L523" s="4">
        <f t="shared" si="436"/>
        <v>0</v>
      </c>
      <c r="M523" s="4">
        <f t="shared" si="437"/>
        <v>0</v>
      </c>
      <c r="N523" s="4">
        <f t="shared" si="438"/>
        <v>0</v>
      </c>
      <c r="O523" s="5">
        <f t="shared" si="439"/>
        <v>18</v>
      </c>
      <c r="P523" s="6" t="str">
        <f t="shared" si="440"/>
        <v>30 Days</v>
      </c>
      <c r="Q523" s="7">
        <v>42855</v>
      </c>
      <c r="R523" s="6" t="str">
        <f>VLOOKUP(A523:A4915,[1]BOM_INV_OPERATOR_DETAILS_OUTPUT!$A$2:$D$1233,4,FALSE)</f>
        <v>AI</v>
      </c>
      <c r="Y523" s="1" t="str">
        <f>"4711243299"</f>
        <v>4711243299</v>
      </c>
    </row>
    <row r="524" spans="1:25" x14ac:dyDescent="0.2">
      <c r="A524" s="9" t="s">
        <v>2125</v>
      </c>
      <c r="B524" s="10">
        <v>42840</v>
      </c>
      <c r="C524" s="9" t="s">
        <v>2126</v>
      </c>
      <c r="D524" s="9" t="s">
        <v>2124</v>
      </c>
      <c r="E524" s="9" t="s">
        <v>2190</v>
      </c>
      <c r="F524" s="9">
        <v>0</v>
      </c>
      <c r="G524" s="8">
        <v>7061</v>
      </c>
      <c r="H524" s="4">
        <f t="shared" si="432"/>
        <v>7061</v>
      </c>
      <c r="I524" s="4">
        <f t="shared" si="433"/>
        <v>0</v>
      </c>
      <c r="J524" s="4">
        <f t="shared" si="434"/>
        <v>0</v>
      </c>
      <c r="K524" s="4">
        <f t="shared" si="435"/>
        <v>0</v>
      </c>
      <c r="L524" s="4">
        <f t="shared" si="436"/>
        <v>0</v>
      </c>
      <c r="M524" s="4">
        <f t="shared" si="437"/>
        <v>0</v>
      </c>
      <c r="N524" s="4">
        <f t="shared" si="438"/>
        <v>0</v>
      </c>
      <c r="O524" s="5">
        <f t="shared" si="439"/>
        <v>15</v>
      </c>
      <c r="P524" s="6" t="str">
        <f t="shared" si="440"/>
        <v>30 Days</v>
      </c>
      <c r="Q524" s="7">
        <v>42855</v>
      </c>
      <c r="R524" s="6" t="str">
        <f>VLOOKUP(A524:A4916,[1]BOM_INV_OPERATOR_DETAILS_OUTPUT!$A$2:$D$1233,4,FALSE)</f>
        <v>AI</v>
      </c>
      <c r="Y524" s="1" t="str">
        <f>"419166760"</f>
        <v>419166760</v>
      </c>
    </row>
    <row r="525" spans="1:25" x14ac:dyDescent="0.2">
      <c r="A525" s="9" t="s">
        <v>308</v>
      </c>
      <c r="B525" s="10">
        <v>42747</v>
      </c>
      <c r="C525" s="9" t="s">
        <v>309</v>
      </c>
      <c r="D525" s="9" t="s">
        <v>307</v>
      </c>
      <c r="E525" s="9" t="s">
        <v>2190</v>
      </c>
      <c r="F525" s="9">
        <v>0</v>
      </c>
      <c r="G525" s="8">
        <v>7061</v>
      </c>
      <c r="H525" s="4">
        <f t="shared" si="432"/>
        <v>0</v>
      </c>
      <c r="I525" s="4">
        <f t="shared" si="433"/>
        <v>0</v>
      </c>
      <c r="J525" s="4">
        <f t="shared" si="434"/>
        <v>0</v>
      </c>
      <c r="K525" s="4">
        <f t="shared" si="435"/>
        <v>0</v>
      </c>
      <c r="L525" s="4">
        <f t="shared" si="436"/>
        <v>7061</v>
      </c>
      <c r="M525" s="4">
        <f t="shared" si="437"/>
        <v>0</v>
      </c>
      <c r="N525" s="4">
        <f t="shared" si="438"/>
        <v>7061</v>
      </c>
      <c r="O525" s="5">
        <f t="shared" si="439"/>
        <v>108</v>
      </c>
      <c r="P525" s="6" t="str">
        <f t="shared" si="440"/>
        <v>91 To 120 Days</v>
      </c>
      <c r="Q525" s="7">
        <v>42855</v>
      </c>
      <c r="R525" s="6" t="s">
        <v>2178</v>
      </c>
      <c r="Y525" s="1" t="str">
        <f>"4711220276"</f>
        <v>4711220276</v>
      </c>
    </row>
    <row r="526" spans="1:25" x14ac:dyDescent="0.2">
      <c r="A526" s="9" t="s">
        <v>1677</v>
      </c>
      <c r="B526" s="10">
        <v>42829</v>
      </c>
      <c r="C526" s="9" t="s">
        <v>1678</v>
      </c>
      <c r="D526" s="9" t="s">
        <v>1676</v>
      </c>
      <c r="E526" s="9" t="s">
        <v>2190</v>
      </c>
      <c r="F526" s="9">
        <v>0</v>
      </c>
      <c r="G526" s="8">
        <v>7061</v>
      </c>
      <c r="H526" s="4">
        <f t="shared" si="432"/>
        <v>7061</v>
      </c>
      <c r="I526" s="4">
        <f t="shared" si="433"/>
        <v>0</v>
      </c>
      <c r="J526" s="4">
        <f t="shared" si="434"/>
        <v>0</v>
      </c>
      <c r="K526" s="4">
        <f t="shared" si="435"/>
        <v>0</v>
      </c>
      <c r="L526" s="4">
        <f t="shared" si="436"/>
        <v>0</v>
      </c>
      <c r="M526" s="4">
        <f t="shared" si="437"/>
        <v>0</v>
      </c>
      <c r="N526" s="4">
        <f t="shared" si="438"/>
        <v>0</v>
      </c>
      <c r="O526" s="5">
        <f t="shared" si="439"/>
        <v>26</v>
      </c>
      <c r="P526" s="6" t="str">
        <f t="shared" si="440"/>
        <v>30 Days</v>
      </c>
      <c r="Q526" s="7">
        <v>42855</v>
      </c>
      <c r="R526" s="6" t="s">
        <v>2178</v>
      </c>
      <c r="Y526" s="1" t="str">
        <f>"4041696625"</f>
        <v>4041696625</v>
      </c>
    </row>
    <row r="527" spans="1:25" x14ac:dyDescent="0.2">
      <c r="A527" s="9" t="s">
        <v>1779</v>
      </c>
      <c r="B527" s="10">
        <v>42832</v>
      </c>
      <c r="C527" s="9" t="s">
        <v>1780</v>
      </c>
      <c r="D527" s="9" t="s">
        <v>1778</v>
      </c>
      <c r="E527" s="9" t="s">
        <v>2190</v>
      </c>
      <c r="F527" s="9">
        <v>0</v>
      </c>
      <c r="G527" s="8">
        <v>7061</v>
      </c>
      <c r="H527" s="4">
        <f t="shared" si="432"/>
        <v>7061</v>
      </c>
      <c r="I527" s="4">
        <f t="shared" si="433"/>
        <v>0</v>
      </c>
      <c r="J527" s="4">
        <f t="shared" si="434"/>
        <v>0</v>
      </c>
      <c r="K527" s="4">
        <f t="shared" si="435"/>
        <v>0</v>
      </c>
      <c r="L527" s="4">
        <f t="shared" si="436"/>
        <v>0</v>
      </c>
      <c r="M527" s="4">
        <f t="shared" si="437"/>
        <v>0</v>
      </c>
      <c r="N527" s="4">
        <f t="shared" si="438"/>
        <v>0</v>
      </c>
      <c r="O527" s="5">
        <f t="shared" si="439"/>
        <v>23</v>
      </c>
      <c r="P527" s="6" t="str">
        <f t="shared" si="440"/>
        <v>30 Days</v>
      </c>
      <c r="Q527" s="7">
        <v>42855</v>
      </c>
      <c r="R527" s="6" t="s">
        <v>2178</v>
      </c>
      <c r="Y527" s="1" t="str">
        <f>"4170204746"</f>
        <v>4170204746</v>
      </c>
    </row>
    <row r="528" spans="1:25" x14ac:dyDescent="0.2">
      <c r="A528" s="9" t="s">
        <v>2052</v>
      </c>
      <c r="B528" s="10">
        <v>42837</v>
      </c>
      <c r="C528" s="9" t="s">
        <v>2053</v>
      </c>
      <c r="D528" s="9" t="s">
        <v>2051</v>
      </c>
      <c r="E528" s="9" t="s">
        <v>2190</v>
      </c>
      <c r="F528" s="9">
        <v>0</v>
      </c>
      <c r="G528" s="8">
        <v>7061</v>
      </c>
      <c r="H528" s="4">
        <f t="shared" si="432"/>
        <v>7061</v>
      </c>
      <c r="I528" s="4">
        <f t="shared" si="433"/>
        <v>0</v>
      </c>
      <c r="J528" s="4">
        <f t="shared" si="434"/>
        <v>0</v>
      </c>
      <c r="K528" s="4">
        <f t="shared" si="435"/>
        <v>0</v>
      </c>
      <c r="L528" s="4">
        <f t="shared" si="436"/>
        <v>0</v>
      </c>
      <c r="M528" s="4">
        <f t="shared" si="437"/>
        <v>0</v>
      </c>
      <c r="N528" s="4">
        <f t="shared" si="438"/>
        <v>0</v>
      </c>
      <c r="O528" s="5">
        <f t="shared" si="439"/>
        <v>18</v>
      </c>
      <c r="P528" s="6" t="str">
        <f t="shared" si="440"/>
        <v>30 Days</v>
      </c>
      <c r="Q528" s="7">
        <v>42855</v>
      </c>
      <c r="R528" s="6" t="str">
        <f>VLOOKUP(A528:A4920,[1]BOM_INV_OPERATOR_DETAILS_OUTPUT!$A$2:$D$1233,4,FALSE)</f>
        <v>AI</v>
      </c>
      <c r="Y528" s="1" t="str">
        <f>"4170205680"</f>
        <v>4170205680</v>
      </c>
    </row>
    <row r="529" spans="1:25" x14ac:dyDescent="0.2">
      <c r="A529" s="9" t="s">
        <v>2103</v>
      </c>
      <c r="B529" s="10">
        <v>42838</v>
      </c>
      <c r="C529" s="9" t="s">
        <v>2104</v>
      </c>
      <c r="D529" s="9" t="s">
        <v>2102</v>
      </c>
      <c r="E529" s="9" t="s">
        <v>2190</v>
      </c>
      <c r="F529" s="9">
        <v>0</v>
      </c>
      <c r="G529" s="8">
        <v>7061</v>
      </c>
      <c r="H529" s="4">
        <f t="shared" si="432"/>
        <v>7061</v>
      </c>
      <c r="I529" s="4">
        <f t="shared" si="433"/>
        <v>0</v>
      </c>
      <c r="J529" s="4">
        <f t="shared" si="434"/>
        <v>0</v>
      </c>
      <c r="K529" s="4">
        <f t="shared" si="435"/>
        <v>0</v>
      </c>
      <c r="L529" s="4">
        <f t="shared" si="436"/>
        <v>0</v>
      </c>
      <c r="M529" s="4">
        <f t="shared" si="437"/>
        <v>0</v>
      </c>
      <c r="N529" s="4">
        <f t="shared" si="438"/>
        <v>0</v>
      </c>
      <c r="O529" s="5">
        <f t="shared" si="439"/>
        <v>17</v>
      </c>
      <c r="P529" s="6" t="str">
        <f t="shared" si="440"/>
        <v>30 Days</v>
      </c>
      <c r="Q529" s="7">
        <v>42855</v>
      </c>
      <c r="R529" s="6" t="str">
        <f>VLOOKUP(A529:A4921,[1]BOM_INV_OPERATOR_DETAILS_OUTPUT!$A$2:$D$1233,4,FALSE)</f>
        <v>AI</v>
      </c>
      <c r="Y529" s="1" t="str">
        <f>"4812079812"</f>
        <v>4812079812</v>
      </c>
    </row>
    <row r="530" spans="1:25" x14ac:dyDescent="0.2">
      <c r="A530" s="9" t="s">
        <v>1982</v>
      </c>
      <c r="B530" s="10">
        <v>42836</v>
      </c>
      <c r="C530" s="9" t="s">
        <v>1983</v>
      </c>
      <c r="D530" s="9" t="s">
        <v>1981</v>
      </c>
      <c r="E530" s="9" t="s">
        <v>2190</v>
      </c>
      <c r="F530" s="9">
        <v>0</v>
      </c>
      <c r="G530" s="8">
        <v>7061</v>
      </c>
      <c r="H530" s="4">
        <f t="shared" si="432"/>
        <v>7061</v>
      </c>
      <c r="I530" s="4">
        <f t="shared" si="433"/>
        <v>0</v>
      </c>
      <c r="J530" s="4">
        <f t="shared" si="434"/>
        <v>0</v>
      </c>
      <c r="K530" s="4">
        <f t="shared" si="435"/>
        <v>0</v>
      </c>
      <c r="L530" s="4">
        <f t="shared" si="436"/>
        <v>0</v>
      </c>
      <c r="M530" s="4">
        <f t="shared" si="437"/>
        <v>0</v>
      </c>
      <c r="N530" s="4">
        <f t="shared" si="438"/>
        <v>0</v>
      </c>
      <c r="O530" s="5">
        <f t="shared" si="439"/>
        <v>19</v>
      </c>
      <c r="P530" s="6" t="str">
        <f t="shared" si="440"/>
        <v>30 Days</v>
      </c>
      <c r="Q530" s="7">
        <v>42855</v>
      </c>
      <c r="R530" s="6" t="str">
        <f>VLOOKUP(A530:A4922,[1]BOM_INV_OPERATOR_DETAILS_OUTPUT!$A$2:$D$1233,4,FALSE)</f>
        <v>AI</v>
      </c>
      <c r="Y530" s="1" t="str">
        <f>"4310034860"</f>
        <v>4310034860</v>
      </c>
    </row>
    <row r="531" spans="1:25" x14ac:dyDescent="0.2">
      <c r="A531" s="9" t="s">
        <v>172</v>
      </c>
      <c r="B531" s="10">
        <v>42710</v>
      </c>
      <c r="C531" s="9" t="s">
        <v>173</v>
      </c>
      <c r="D531" s="9" t="s">
        <v>171</v>
      </c>
      <c r="E531" s="9" t="s">
        <v>2190</v>
      </c>
      <c r="F531" s="9">
        <v>0</v>
      </c>
      <c r="G531" s="8">
        <v>7061</v>
      </c>
      <c r="H531" s="4">
        <f t="shared" si="432"/>
        <v>0</v>
      </c>
      <c r="I531" s="4">
        <f t="shared" si="433"/>
        <v>0</v>
      </c>
      <c r="J531" s="4">
        <f t="shared" si="434"/>
        <v>0</v>
      </c>
      <c r="K531" s="4">
        <f t="shared" si="435"/>
        <v>0</v>
      </c>
      <c r="L531" s="4">
        <f t="shared" si="436"/>
        <v>0</v>
      </c>
      <c r="M531" s="4">
        <f t="shared" si="437"/>
        <v>7061</v>
      </c>
      <c r="N531" s="4">
        <f t="shared" si="438"/>
        <v>7061</v>
      </c>
      <c r="O531" s="5">
        <f t="shared" si="439"/>
        <v>145</v>
      </c>
      <c r="P531" s="6" t="str">
        <f t="shared" si="440"/>
        <v>Plus120Days</v>
      </c>
      <c r="Q531" s="7">
        <v>42855</v>
      </c>
      <c r="R531" s="6" t="s">
        <v>2178</v>
      </c>
      <c r="Y531" s="1" t="str">
        <f>"4711205489"</f>
        <v>4711205489</v>
      </c>
    </row>
    <row r="532" spans="1:25" x14ac:dyDescent="0.2">
      <c r="A532" s="9" t="s">
        <v>1439</v>
      </c>
      <c r="B532" s="10">
        <v>42823</v>
      </c>
      <c r="C532" s="9" t="s">
        <v>1440</v>
      </c>
      <c r="D532" s="9" t="s">
        <v>171</v>
      </c>
      <c r="E532" s="9" t="s">
        <v>2190</v>
      </c>
      <c r="F532" s="9">
        <v>0</v>
      </c>
      <c r="G532" s="8">
        <v>7061</v>
      </c>
      <c r="H532" s="4">
        <f t="shared" si="432"/>
        <v>0</v>
      </c>
      <c r="I532" s="4">
        <f t="shared" si="433"/>
        <v>7061</v>
      </c>
      <c r="J532" s="4">
        <f t="shared" si="434"/>
        <v>0</v>
      </c>
      <c r="K532" s="4">
        <f t="shared" si="435"/>
        <v>0</v>
      </c>
      <c r="L532" s="4">
        <f t="shared" si="436"/>
        <v>0</v>
      </c>
      <c r="M532" s="4">
        <f t="shared" si="437"/>
        <v>0</v>
      </c>
      <c r="N532" s="4">
        <f t="shared" si="438"/>
        <v>0</v>
      </c>
      <c r="O532" s="5">
        <f t="shared" si="439"/>
        <v>32</v>
      </c>
      <c r="P532" s="6" t="str">
        <f t="shared" si="440"/>
        <v>31 TO 45 Days</v>
      </c>
      <c r="Q532" s="7">
        <v>42855</v>
      </c>
      <c r="R532" s="6" t="s">
        <v>2178</v>
      </c>
      <c r="Y532" s="1" t="str">
        <f>"4711232388"</f>
        <v>4711232388</v>
      </c>
    </row>
    <row r="533" spans="1:25" x14ac:dyDescent="0.2">
      <c r="A533" s="9" t="s">
        <v>1503</v>
      </c>
      <c r="B533" s="10">
        <v>42824</v>
      </c>
      <c r="C533" s="9" t="s">
        <v>1504</v>
      </c>
      <c r="D533" s="9" t="s">
        <v>171</v>
      </c>
      <c r="E533" s="9" t="s">
        <v>2190</v>
      </c>
      <c r="F533" s="9">
        <v>0</v>
      </c>
      <c r="G533" s="8">
        <v>7061</v>
      </c>
      <c r="H533" s="4">
        <f t="shared" si="432"/>
        <v>0</v>
      </c>
      <c r="I533" s="4">
        <f t="shared" si="433"/>
        <v>7061</v>
      </c>
      <c r="J533" s="4">
        <f t="shared" si="434"/>
        <v>0</v>
      </c>
      <c r="K533" s="4">
        <f t="shared" si="435"/>
        <v>0</v>
      </c>
      <c r="L533" s="4">
        <f t="shared" si="436"/>
        <v>0</v>
      </c>
      <c r="M533" s="4">
        <f t="shared" si="437"/>
        <v>0</v>
      </c>
      <c r="N533" s="4">
        <f t="shared" si="438"/>
        <v>0</v>
      </c>
      <c r="O533" s="5">
        <f t="shared" si="439"/>
        <v>31</v>
      </c>
      <c r="P533" s="6" t="str">
        <f t="shared" si="440"/>
        <v>31 TO 45 Days</v>
      </c>
      <c r="Q533" s="7">
        <v>42855</v>
      </c>
      <c r="R533" s="6" t="s">
        <v>2178</v>
      </c>
      <c r="Y533" s="1" t="str">
        <f>"4711232394"</f>
        <v>4711232394</v>
      </c>
    </row>
    <row r="534" spans="1:25" x14ac:dyDescent="0.2">
      <c r="A534" s="9" t="s">
        <v>1570</v>
      </c>
      <c r="B534" s="10">
        <v>42826</v>
      </c>
      <c r="C534" s="9" t="s">
        <v>1571</v>
      </c>
      <c r="D534" s="9" t="s">
        <v>171</v>
      </c>
      <c r="E534" s="9" t="s">
        <v>2190</v>
      </c>
      <c r="F534" s="9">
        <v>0</v>
      </c>
      <c r="G534" s="8">
        <v>7061</v>
      </c>
      <c r="H534" s="4">
        <f t="shared" si="432"/>
        <v>7061</v>
      </c>
      <c r="I534" s="4">
        <f t="shared" si="433"/>
        <v>0</v>
      </c>
      <c r="J534" s="4">
        <f t="shared" si="434"/>
        <v>0</v>
      </c>
      <c r="K534" s="4">
        <f t="shared" si="435"/>
        <v>0</v>
      </c>
      <c r="L534" s="4">
        <f t="shared" si="436"/>
        <v>0</v>
      </c>
      <c r="M534" s="4">
        <f t="shared" si="437"/>
        <v>0</v>
      </c>
      <c r="N534" s="4">
        <f t="shared" si="438"/>
        <v>0</v>
      </c>
      <c r="O534" s="5">
        <f t="shared" si="439"/>
        <v>29</v>
      </c>
      <c r="P534" s="6" t="str">
        <f t="shared" si="440"/>
        <v>30 Days</v>
      </c>
      <c r="Q534" s="7">
        <v>42855</v>
      </c>
      <c r="R534" s="6" t="s">
        <v>2178</v>
      </c>
      <c r="Y534" s="1" t="str">
        <f>"4711232409"</f>
        <v>4711232409</v>
      </c>
    </row>
    <row r="535" spans="1:25" x14ac:dyDescent="0.2">
      <c r="A535" s="9" t="s">
        <v>1802</v>
      </c>
      <c r="B535" s="10">
        <v>42832</v>
      </c>
      <c r="C535" s="9" t="s">
        <v>1803</v>
      </c>
      <c r="D535" s="9" t="s">
        <v>1801</v>
      </c>
      <c r="E535" s="9" t="s">
        <v>2190</v>
      </c>
      <c r="F535" s="9">
        <v>0</v>
      </c>
      <c r="G535" s="8">
        <v>7061</v>
      </c>
      <c r="H535" s="4">
        <f t="shared" si="432"/>
        <v>7061</v>
      </c>
      <c r="I535" s="4">
        <f t="shared" si="433"/>
        <v>0</v>
      </c>
      <c r="J535" s="4">
        <f t="shared" si="434"/>
        <v>0</v>
      </c>
      <c r="K535" s="4">
        <f t="shared" si="435"/>
        <v>0</v>
      </c>
      <c r="L535" s="4">
        <f t="shared" si="436"/>
        <v>0</v>
      </c>
      <c r="M535" s="4">
        <f t="shared" si="437"/>
        <v>0</v>
      </c>
      <c r="N535" s="4">
        <f t="shared" si="438"/>
        <v>0</v>
      </c>
      <c r="O535" s="5">
        <f t="shared" si="439"/>
        <v>23</v>
      </c>
      <c r="P535" s="6" t="str">
        <f t="shared" si="440"/>
        <v>30 Days</v>
      </c>
      <c r="Q535" s="7">
        <v>42855</v>
      </c>
      <c r="R535" s="6" t="s">
        <v>2178</v>
      </c>
      <c r="Y535" s="1" t="str">
        <f>"4320103199"</f>
        <v>4320103199</v>
      </c>
    </row>
    <row r="536" spans="1:25" x14ac:dyDescent="0.2">
      <c r="A536" s="9" t="s">
        <v>2091</v>
      </c>
      <c r="B536" s="10">
        <v>42838</v>
      </c>
      <c r="C536" s="9" t="s">
        <v>2092</v>
      </c>
      <c r="D536" s="9" t="s">
        <v>2090</v>
      </c>
      <c r="E536" s="9" t="s">
        <v>2190</v>
      </c>
      <c r="F536" s="9">
        <v>0</v>
      </c>
      <c r="G536" s="8">
        <v>7061</v>
      </c>
      <c r="H536" s="4">
        <f t="shared" si="432"/>
        <v>7061</v>
      </c>
      <c r="I536" s="4">
        <f t="shared" si="433"/>
        <v>0</v>
      </c>
      <c r="J536" s="4">
        <f t="shared" si="434"/>
        <v>0</v>
      </c>
      <c r="K536" s="4">
        <f t="shared" si="435"/>
        <v>0</v>
      </c>
      <c r="L536" s="4">
        <f t="shared" si="436"/>
        <v>0</v>
      </c>
      <c r="M536" s="4">
        <f t="shared" si="437"/>
        <v>0</v>
      </c>
      <c r="N536" s="4">
        <f t="shared" si="438"/>
        <v>0</v>
      </c>
      <c r="O536" s="5">
        <f t="shared" si="439"/>
        <v>17</v>
      </c>
      <c r="P536" s="6" t="str">
        <f t="shared" si="440"/>
        <v>30 Days</v>
      </c>
      <c r="Q536" s="7">
        <v>42855</v>
      </c>
      <c r="R536" s="6" t="str">
        <f>VLOOKUP(A536:A4928,[1]BOM_INV_OPERATOR_DETAILS_OUTPUT!$A$2:$D$1233,4,FALSE)</f>
        <v>AI</v>
      </c>
      <c r="Y536" s="1" t="str">
        <f>"4711239088"</f>
        <v>4711239088</v>
      </c>
    </row>
    <row r="537" spans="1:25" x14ac:dyDescent="0.2">
      <c r="A537" s="9" t="s">
        <v>1771</v>
      </c>
      <c r="B537" s="10">
        <v>42831</v>
      </c>
      <c r="C537" s="9" t="s">
        <v>1772</v>
      </c>
      <c r="D537" s="9" t="s">
        <v>1770</v>
      </c>
      <c r="E537" s="9" t="s">
        <v>2190</v>
      </c>
      <c r="F537" s="9">
        <v>0</v>
      </c>
      <c r="G537" s="8">
        <v>7061</v>
      </c>
      <c r="H537" s="4">
        <f t="shared" si="432"/>
        <v>7061</v>
      </c>
      <c r="I537" s="4">
        <f t="shared" si="433"/>
        <v>0</v>
      </c>
      <c r="J537" s="4">
        <f t="shared" si="434"/>
        <v>0</v>
      </c>
      <c r="K537" s="4">
        <f t="shared" si="435"/>
        <v>0</v>
      </c>
      <c r="L537" s="4">
        <f t="shared" si="436"/>
        <v>0</v>
      </c>
      <c r="M537" s="4">
        <f t="shared" si="437"/>
        <v>0</v>
      </c>
      <c r="N537" s="4">
        <f t="shared" si="438"/>
        <v>0</v>
      </c>
      <c r="O537" s="5">
        <f t="shared" si="439"/>
        <v>24</v>
      </c>
      <c r="P537" s="6" t="str">
        <f t="shared" si="440"/>
        <v>30 Days</v>
      </c>
      <c r="Q537" s="7">
        <v>42855</v>
      </c>
      <c r="R537" s="6" t="s">
        <v>2178</v>
      </c>
      <c r="Y537" s="1" t="str">
        <f>"417470439"</f>
        <v>417470439</v>
      </c>
    </row>
    <row r="538" spans="1:25" x14ac:dyDescent="0.2">
      <c r="A538" s="9" t="s">
        <v>1784</v>
      </c>
      <c r="B538" s="10">
        <v>42832</v>
      </c>
      <c r="C538" s="9" t="s">
        <v>1785</v>
      </c>
      <c r="D538" s="9" t="s">
        <v>37</v>
      </c>
      <c r="E538" s="9" t="s">
        <v>2190</v>
      </c>
      <c r="F538" s="9">
        <v>0</v>
      </c>
      <c r="G538" s="8">
        <v>7064</v>
      </c>
      <c r="H538" s="4">
        <f t="shared" si="432"/>
        <v>7064</v>
      </c>
      <c r="I538" s="4">
        <f t="shared" si="433"/>
        <v>0</v>
      </c>
      <c r="J538" s="4">
        <f t="shared" si="434"/>
        <v>0</v>
      </c>
      <c r="K538" s="4">
        <f t="shared" si="435"/>
        <v>0</v>
      </c>
      <c r="L538" s="4">
        <f t="shared" si="436"/>
        <v>0</v>
      </c>
      <c r="M538" s="4">
        <f t="shared" si="437"/>
        <v>0</v>
      </c>
      <c r="N538" s="4">
        <f t="shared" si="438"/>
        <v>0</v>
      </c>
      <c r="O538" s="5">
        <f t="shared" si="439"/>
        <v>23</v>
      </c>
      <c r="P538" s="6" t="str">
        <f t="shared" si="440"/>
        <v>30 Days</v>
      </c>
      <c r="Q538" s="7">
        <v>42855</v>
      </c>
      <c r="R538" s="6" t="s">
        <v>2178</v>
      </c>
      <c r="Y538" s="1" t="str">
        <f>"4052211349"</f>
        <v>4052211349</v>
      </c>
    </row>
    <row r="539" spans="1:25" x14ac:dyDescent="0.2">
      <c r="A539" s="9" t="s">
        <v>1270</v>
      </c>
      <c r="B539" s="10">
        <v>42818</v>
      </c>
      <c r="C539" s="9" t="s">
        <v>1271</v>
      </c>
      <c r="D539" s="9" t="s">
        <v>144</v>
      </c>
      <c r="E539" s="9" t="s">
        <v>2190</v>
      </c>
      <c r="F539" s="9">
        <v>2300000</v>
      </c>
      <c r="G539" s="8">
        <v>7075</v>
      </c>
      <c r="H539" s="4">
        <f t="shared" si="432"/>
        <v>0</v>
      </c>
      <c r="I539" s="4">
        <f t="shared" si="433"/>
        <v>7075</v>
      </c>
      <c r="J539" s="4">
        <f t="shared" si="434"/>
        <v>0</v>
      </c>
      <c r="K539" s="4">
        <f t="shared" si="435"/>
        <v>0</v>
      </c>
      <c r="L539" s="4">
        <f t="shared" si="436"/>
        <v>0</v>
      </c>
      <c r="M539" s="4">
        <f t="shared" si="437"/>
        <v>0</v>
      </c>
      <c r="N539" s="4">
        <f t="shared" si="438"/>
        <v>0</v>
      </c>
      <c r="O539" s="5">
        <f t="shared" si="439"/>
        <v>37</v>
      </c>
      <c r="P539" s="6" t="str">
        <f t="shared" si="440"/>
        <v>31 TO 45 Days</v>
      </c>
      <c r="Q539" s="7">
        <v>42855</v>
      </c>
      <c r="R539" s="6" t="s">
        <v>2178</v>
      </c>
      <c r="Y539" s="1" t="str">
        <f>"4912895981"</f>
        <v>4912895981</v>
      </c>
    </row>
    <row r="540" spans="1:25" x14ac:dyDescent="0.2">
      <c r="A540" s="9" t="s">
        <v>1959</v>
      </c>
      <c r="B540" s="10">
        <v>42836</v>
      </c>
      <c r="C540" s="9" t="s">
        <v>1960</v>
      </c>
      <c r="D540" s="9" t="s">
        <v>134</v>
      </c>
      <c r="E540" s="9" t="s">
        <v>2190</v>
      </c>
      <c r="F540" s="9">
        <v>0</v>
      </c>
      <c r="G540" s="8">
        <v>7083</v>
      </c>
      <c r="H540" s="4">
        <f t="shared" si="432"/>
        <v>7083</v>
      </c>
      <c r="I540" s="4">
        <f t="shared" si="433"/>
        <v>0</v>
      </c>
      <c r="J540" s="4">
        <f t="shared" si="434"/>
        <v>0</v>
      </c>
      <c r="K540" s="4">
        <f t="shared" si="435"/>
        <v>0</v>
      </c>
      <c r="L540" s="4">
        <f t="shared" si="436"/>
        <v>0</v>
      </c>
      <c r="M540" s="4">
        <f t="shared" si="437"/>
        <v>0</v>
      </c>
      <c r="N540" s="4">
        <f t="shared" si="438"/>
        <v>0</v>
      </c>
      <c r="O540" s="5">
        <f t="shared" si="439"/>
        <v>19</v>
      </c>
      <c r="P540" s="6" t="str">
        <f t="shared" si="440"/>
        <v>30 Days</v>
      </c>
      <c r="Q540" s="7">
        <v>42855</v>
      </c>
      <c r="R540" s="6" t="str">
        <f>VLOOKUP(A540:A4937,[1]BOM_INV_OPERATOR_DETAILS_OUTPUT!$A$2:$D$1233,4,FALSE)</f>
        <v>AI</v>
      </c>
      <c r="Y540" s="1" t="str">
        <f>"4340042487"</f>
        <v>4340042487</v>
      </c>
    </row>
    <row r="541" spans="1:25" x14ac:dyDescent="0.2">
      <c r="A541" s="9" t="s">
        <v>1921</v>
      </c>
      <c r="B541" s="10">
        <v>42835</v>
      </c>
      <c r="C541" s="9" t="s">
        <v>1922</v>
      </c>
      <c r="D541" s="9" t="s">
        <v>1920</v>
      </c>
      <c r="E541" s="9" t="s">
        <v>2190</v>
      </c>
      <c r="F541" s="9">
        <v>0</v>
      </c>
      <c r="G541" s="8">
        <v>7092</v>
      </c>
      <c r="H541" s="4">
        <f t="shared" si="432"/>
        <v>7092</v>
      </c>
      <c r="I541" s="4">
        <f t="shared" si="433"/>
        <v>0</v>
      </c>
      <c r="J541" s="4">
        <f t="shared" si="434"/>
        <v>0</v>
      </c>
      <c r="K541" s="4">
        <f t="shared" si="435"/>
        <v>0</v>
      </c>
      <c r="L541" s="4">
        <f t="shared" si="436"/>
        <v>0</v>
      </c>
      <c r="M541" s="4">
        <f t="shared" si="437"/>
        <v>0</v>
      </c>
      <c r="N541" s="4">
        <f t="shared" si="438"/>
        <v>0</v>
      </c>
      <c r="O541" s="5">
        <f t="shared" si="439"/>
        <v>20</v>
      </c>
      <c r="P541" s="6" t="str">
        <f t="shared" si="440"/>
        <v>30 Days</v>
      </c>
      <c r="Q541" s="7">
        <v>42855</v>
      </c>
      <c r="R541" s="6" t="str">
        <f>VLOOKUP(A541:A4940,[1]BOM_INV_OPERATOR_DETAILS_OUTPUT!$A$2:$D$1233,4,FALSE)</f>
        <v>AI</v>
      </c>
      <c r="Y541" s="1" t="str">
        <f>"4300211707"</f>
        <v>4300211707</v>
      </c>
    </row>
    <row r="542" spans="1:25" x14ac:dyDescent="0.2">
      <c r="A542" s="9" t="s">
        <v>2165</v>
      </c>
      <c r="B542" s="10">
        <v>42840</v>
      </c>
      <c r="C542" s="9" t="s">
        <v>2166</v>
      </c>
      <c r="D542" s="9" t="s">
        <v>241</v>
      </c>
      <c r="E542" s="9" t="s">
        <v>2190</v>
      </c>
      <c r="F542" s="9">
        <v>75000</v>
      </c>
      <c r="G542" s="8">
        <v>7093</v>
      </c>
      <c r="H542" s="4">
        <f t="shared" si="432"/>
        <v>7093</v>
      </c>
      <c r="I542" s="4">
        <f t="shared" si="433"/>
        <v>0</v>
      </c>
      <c r="J542" s="4">
        <f t="shared" si="434"/>
        <v>0</v>
      </c>
      <c r="K542" s="4">
        <f t="shared" si="435"/>
        <v>0</v>
      </c>
      <c r="L542" s="4">
        <f t="shared" si="436"/>
        <v>0</v>
      </c>
      <c r="M542" s="4">
        <f t="shared" si="437"/>
        <v>0</v>
      </c>
      <c r="N542" s="4">
        <f t="shared" si="438"/>
        <v>0</v>
      </c>
      <c r="O542" s="5">
        <f t="shared" si="439"/>
        <v>15</v>
      </c>
      <c r="P542" s="6" t="str">
        <f t="shared" si="440"/>
        <v>30 Days</v>
      </c>
      <c r="Q542" s="7">
        <v>42855</v>
      </c>
      <c r="R542" s="6" t="str">
        <f>VLOOKUP(A542:A4941,[1]BOM_INV_OPERATOR_DETAILS_OUTPUT!$A$2:$D$1233,4,FALSE)</f>
        <v>AI</v>
      </c>
      <c r="Y542" s="1" t="str">
        <f>"4850057389"</f>
        <v>4850057389</v>
      </c>
    </row>
    <row r="543" spans="1:25" x14ac:dyDescent="0.2">
      <c r="A543" s="9" t="s">
        <v>210</v>
      </c>
      <c r="B543" s="10">
        <v>42728</v>
      </c>
      <c r="C543" s="9" t="s">
        <v>211</v>
      </c>
      <c r="D543" s="9" t="s">
        <v>133</v>
      </c>
      <c r="E543" s="9" t="s">
        <v>2190</v>
      </c>
      <c r="F543" s="9">
        <v>20000000</v>
      </c>
      <c r="G543" s="8">
        <v>7093</v>
      </c>
      <c r="H543" s="4">
        <f t="shared" si="432"/>
        <v>0</v>
      </c>
      <c r="I543" s="4">
        <f t="shared" si="433"/>
        <v>0</v>
      </c>
      <c r="J543" s="4">
        <f t="shared" si="434"/>
        <v>0</v>
      </c>
      <c r="K543" s="4">
        <f t="shared" si="435"/>
        <v>0</v>
      </c>
      <c r="L543" s="4">
        <f t="shared" si="436"/>
        <v>0</v>
      </c>
      <c r="M543" s="4">
        <f t="shared" si="437"/>
        <v>7093</v>
      </c>
      <c r="N543" s="4">
        <f t="shared" si="438"/>
        <v>7093</v>
      </c>
      <c r="O543" s="5">
        <f t="shared" si="439"/>
        <v>127</v>
      </c>
      <c r="P543" s="6" t="str">
        <f t="shared" si="440"/>
        <v>Plus120Days</v>
      </c>
      <c r="Q543" s="7">
        <v>42855</v>
      </c>
      <c r="R543" s="6" t="s">
        <v>2178</v>
      </c>
      <c r="V543" s="1" t="s">
        <v>13</v>
      </c>
      <c r="Y543" s="1" t="str">
        <f>"4071580702"</f>
        <v>4071580702</v>
      </c>
    </row>
    <row r="544" spans="1:25" x14ac:dyDescent="0.2">
      <c r="A544" s="9" t="s">
        <v>2004</v>
      </c>
      <c r="B544" s="10">
        <v>42836</v>
      </c>
      <c r="C544" s="9" t="s">
        <v>2005</v>
      </c>
      <c r="D544" s="9" t="s">
        <v>2003</v>
      </c>
      <c r="E544" s="9" t="s">
        <v>2190</v>
      </c>
      <c r="F544" s="9">
        <v>0</v>
      </c>
      <c r="G544" s="8">
        <v>7099</v>
      </c>
      <c r="H544" s="4">
        <f t="shared" ref="H544:H580" si="441">IF(O544&lt;=30,G544,0)</f>
        <v>7099</v>
      </c>
      <c r="I544" s="4">
        <f t="shared" ref="I544:I580" si="442">IF(AND(O544&gt;30,O544&lt;=45),G544,0)</f>
        <v>0</v>
      </c>
      <c r="J544" s="4">
        <f t="shared" ref="J544:J580" si="443">IF(AND(O544&gt;45,O544&lt;=60),G544,0)</f>
        <v>0</v>
      </c>
      <c r="K544" s="4">
        <f t="shared" ref="K544:K580" si="444">IF(AND(O544&gt;60,O544&lt;=90),G544,0)</f>
        <v>0</v>
      </c>
      <c r="L544" s="4">
        <f t="shared" ref="L544:L580" si="445">IF(AND(O544&gt;90,O544&lt;=120),G544,0)</f>
        <v>0</v>
      </c>
      <c r="M544" s="4">
        <f t="shared" ref="M544:M580" si="446">IF(O544&gt;120,G544,0)</f>
        <v>0</v>
      </c>
      <c r="N544" s="4">
        <f t="shared" ref="N544:N580" si="447">IF(O544&gt;60,G544,0)</f>
        <v>0</v>
      </c>
      <c r="O544" s="5">
        <f t="shared" ref="O544:O580" si="448">Q544-B544</f>
        <v>19</v>
      </c>
      <c r="P544" s="6" t="str">
        <f t="shared" ref="P544:P580" si="449">IF(AND(O544&lt;=30),"30 Days",IF(AND(O544&gt;30,O544&lt;=45),"31 TO 45 Days",IF(AND(O544&gt;45,O544&lt;=60),"46 To 60 Days",IF(AND(O544&gt;60,O544&lt;=90),"61 To 90 Days",IF(AND(O544&gt;90,O544&lt;=120),"91 To 120 Days",IF(AND(O544&gt;120),"Plus120Days",))))))</f>
        <v>30 Days</v>
      </c>
      <c r="Q544" s="7">
        <v>42855</v>
      </c>
      <c r="R544" s="6" t="str">
        <f>VLOOKUP(A544:A4944,[1]BOM_INV_OPERATOR_DETAILS_OUTPUT!$A$2:$D$1233,4,FALSE)</f>
        <v>AI</v>
      </c>
      <c r="Y544" s="1" t="str">
        <f>"4570271482"</f>
        <v>4570271482</v>
      </c>
    </row>
    <row r="545" spans="1:25" x14ac:dyDescent="0.2">
      <c r="A545" s="9" t="s">
        <v>481</v>
      </c>
      <c r="B545" s="10">
        <v>42773</v>
      </c>
      <c r="C545" s="9" t="s">
        <v>482</v>
      </c>
      <c r="D545" s="9" t="s">
        <v>480</v>
      </c>
      <c r="E545" s="9" t="s">
        <v>2190</v>
      </c>
      <c r="F545" s="9">
        <v>0</v>
      </c>
      <c r="G545" s="8">
        <v>7108</v>
      </c>
      <c r="H545" s="4">
        <f t="shared" si="441"/>
        <v>0</v>
      </c>
      <c r="I545" s="4">
        <f t="shared" si="442"/>
        <v>0</v>
      </c>
      <c r="J545" s="4">
        <f t="shared" si="443"/>
        <v>0</v>
      </c>
      <c r="K545" s="4">
        <f t="shared" si="444"/>
        <v>7108</v>
      </c>
      <c r="L545" s="4">
        <f t="shared" si="445"/>
        <v>0</v>
      </c>
      <c r="M545" s="4">
        <f t="shared" si="446"/>
        <v>0</v>
      </c>
      <c r="N545" s="4">
        <f t="shared" si="447"/>
        <v>7108</v>
      </c>
      <c r="O545" s="5">
        <f t="shared" si="448"/>
        <v>82</v>
      </c>
      <c r="P545" s="6" t="str">
        <f t="shared" si="449"/>
        <v>61 To 90 Days</v>
      </c>
      <c r="Q545" s="7">
        <v>42855</v>
      </c>
      <c r="R545" s="6" t="s">
        <v>2178</v>
      </c>
      <c r="Y545" s="1" t="str">
        <f>"4240071190"</f>
        <v>4240071190</v>
      </c>
    </row>
    <row r="546" spans="1:25" x14ac:dyDescent="0.2">
      <c r="A546" s="9" t="s">
        <v>992</v>
      </c>
      <c r="B546" s="10">
        <v>42808</v>
      </c>
      <c r="C546" s="9" t="s">
        <v>993</v>
      </c>
      <c r="D546" s="9" t="s">
        <v>991</v>
      </c>
      <c r="E546" s="9" t="s">
        <v>2190</v>
      </c>
      <c r="F546" s="9">
        <v>0</v>
      </c>
      <c r="G546" s="8">
        <v>7110</v>
      </c>
      <c r="H546" s="4">
        <f t="shared" si="441"/>
        <v>0</v>
      </c>
      <c r="I546" s="4">
        <f t="shared" si="442"/>
        <v>0</v>
      </c>
      <c r="J546" s="4">
        <f t="shared" si="443"/>
        <v>7110</v>
      </c>
      <c r="K546" s="4">
        <f t="shared" si="444"/>
        <v>0</v>
      </c>
      <c r="L546" s="4">
        <f t="shared" si="445"/>
        <v>0</v>
      </c>
      <c r="M546" s="4">
        <f t="shared" si="446"/>
        <v>0</v>
      </c>
      <c r="N546" s="4">
        <f t="shared" si="447"/>
        <v>0</v>
      </c>
      <c r="O546" s="5">
        <f t="shared" si="448"/>
        <v>47</v>
      </c>
      <c r="P546" s="6" t="str">
        <f t="shared" si="449"/>
        <v>46 To 60 Days</v>
      </c>
      <c r="Q546" s="7">
        <v>42855</v>
      </c>
      <c r="R546" s="6" t="s">
        <v>2178</v>
      </c>
      <c r="Y546" s="1" t="str">
        <f>"4711235550"</f>
        <v>4711235550</v>
      </c>
    </row>
    <row r="547" spans="1:25" x14ac:dyDescent="0.2">
      <c r="A547" s="9" t="s">
        <v>487</v>
      </c>
      <c r="B547" s="10">
        <v>42773</v>
      </c>
      <c r="C547" s="9" t="s">
        <v>488</v>
      </c>
      <c r="D547" s="9" t="s">
        <v>140</v>
      </c>
      <c r="E547" s="9" t="s">
        <v>2190</v>
      </c>
      <c r="F547" s="9">
        <v>0</v>
      </c>
      <c r="G547" s="8">
        <v>7111</v>
      </c>
      <c r="H547" s="4">
        <f t="shared" si="441"/>
        <v>0</v>
      </c>
      <c r="I547" s="4">
        <f t="shared" si="442"/>
        <v>0</v>
      </c>
      <c r="J547" s="4">
        <f t="shared" si="443"/>
        <v>0</v>
      </c>
      <c r="K547" s="4">
        <f t="shared" si="444"/>
        <v>7111</v>
      </c>
      <c r="L547" s="4">
        <f t="shared" si="445"/>
        <v>0</v>
      </c>
      <c r="M547" s="4">
        <f t="shared" si="446"/>
        <v>0</v>
      </c>
      <c r="N547" s="4">
        <f t="shared" si="447"/>
        <v>7111</v>
      </c>
      <c r="O547" s="5">
        <f t="shared" si="448"/>
        <v>82</v>
      </c>
      <c r="P547" s="6" t="str">
        <f t="shared" si="449"/>
        <v>61 To 90 Days</v>
      </c>
      <c r="Q547" s="7">
        <v>42855</v>
      </c>
      <c r="R547" s="6" t="s">
        <v>2178</v>
      </c>
      <c r="Y547" s="1" t="str">
        <f>"4395842165"</f>
        <v>4395842165</v>
      </c>
    </row>
    <row r="548" spans="1:25" x14ac:dyDescent="0.2">
      <c r="A548" s="9" t="s">
        <v>401</v>
      </c>
      <c r="B548" s="10">
        <v>42763</v>
      </c>
      <c r="C548" s="9" t="s">
        <v>402</v>
      </c>
      <c r="D548" s="9" t="s">
        <v>133</v>
      </c>
      <c r="E548" s="9" t="s">
        <v>2190</v>
      </c>
      <c r="F548" s="9">
        <v>20000000</v>
      </c>
      <c r="G548" s="8">
        <v>7119</v>
      </c>
      <c r="H548" s="4">
        <f t="shared" si="441"/>
        <v>0</v>
      </c>
      <c r="I548" s="4">
        <f t="shared" si="442"/>
        <v>0</v>
      </c>
      <c r="J548" s="4">
        <f t="shared" si="443"/>
        <v>0</v>
      </c>
      <c r="K548" s="4">
        <f t="shared" si="444"/>
        <v>0</v>
      </c>
      <c r="L548" s="4">
        <f t="shared" si="445"/>
        <v>7119</v>
      </c>
      <c r="M548" s="4">
        <f t="shared" si="446"/>
        <v>0</v>
      </c>
      <c r="N548" s="4">
        <f t="shared" si="447"/>
        <v>7119</v>
      </c>
      <c r="O548" s="5">
        <f t="shared" si="448"/>
        <v>92</v>
      </c>
      <c r="P548" s="6" t="str">
        <f t="shared" si="449"/>
        <v>91 To 120 Days</v>
      </c>
      <c r="Q548" s="7">
        <v>42855</v>
      </c>
      <c r="R548" s="6" t="s">
        <v>2178</v>
      </c>
      <c r="V548" s="1" t="s">
        <v>13</v>
      </c>
      <c r="W548" s="2">
        <v>42765</v>
      </c>
      <c r="X548" s="1" t="s">
        <v>14</v>
      </c>
      <c r="Y548" s="1" t="str">
        <f>"4711225160"</f>
        <v>4711225160</v>
      </c>
    </row>
    <row r="549" spans="1:25" x14ac:dyDescent="0.2">
      <c r="A549" s="9" t="s">
        <v>1516</v>
      </c>
      <c r="B549" s="10">
        <v>42825</v>
      </c>
      <c r="C549" s="9" t="s">
        <v>1517</v>
      </c>
      <c r="D549" s="9" t="s">
        <v>466</v>
      </c>
      <c r="E549" s="9" t="s">
        <v>2190</v>
      </c>
      <c r="F549" s="9">
        <v>200000</v>
      </c>
      <c r="G549" s="8">
        <v>7120</v>
      </c>
      <c r="H549" s="4">
        <f t="shared" si="441"/>
        <v>7120</v>
      </c>
      <c r="I549" s="4">
        <f t="shared" si="442"/>
        <v>0</v>
      </c>
      <c r="J549" s="4">
        <f t="shared" si="443"/>
        <v>0</v>
      </c>
      <c r="K549" s="4">
        <f t="shared" si="444"/>
        <v>0</v>
      </c>
      <c r="L549" s="4">
        <f t="shared" si="445"/>
        <v>0</v>
      </c>
      <c r="M549" s="4">
        <f t="shared" si="446"/>
        <v>0</v>
      </c>
      <c r="N549" s="4">
        <f t="shared" si="447"/>
        <v>0</v>
      </c>
      <c r="O549" s="5">
        <f t="shared" si="448"/>
        <v>30</v>
      </c>
      <c r="P549" s="6" t="str">
        <f t="shared" si="449"/>
        <v>30 Days</v>
      </c>
      <c r="Q549" s="7">
        <v>42855</v>
      </c>
      <c r="R549" s="6" t="s">
        <v>2178</v>
      </c>
      <c r="Y549" s="1" t="str">
        <f>"4750388674"</f>
        <v>4750388674</v>
      </c>
    </row>
    <row r="550" spans="1:25" x14ac:dyDescent="0.2">
      <c r="A550" s="9" t="s">
        <v>1537</v>
      </c>
      <c r="B550" s="10">
        <v>42825</v>
      </c>
      <c r="C550" s="9" t="s">
        <v>1538</v>
      </c>
      <c r="D550" s="9" t="s">
        <v>270</v>
      </c>
      <c r="E550" s="9" t="s">
        <v>2190</v>
      </c>
      <c r="F550" s="9">
        <v>0</v>
      </c>
      <c r="G550" s="8">
        <v>7120</v>
      </c>
      <c r="H550" s="4">
        <f t="shared" si="441"/>
        <v>7120</v>
      </c>
      <c r="I550" s="4">
        <f t="shared" si="442"/>
        <v>0</v>
      </c>
      <c r="J550" s="4">
        <f t="shared" si="443"/>
        <v>0</v>
      </c>
      <c r="K550" s="4">
        <f t="shared" si="444"/>
        <v>0</v>
      </c>
      <c r="L550" s="4">
        <f t="shared" si="445"/>
        <v>0</v>
      </c>
      <c r="M550" s="4">
        <f t="shared" si="446"/>
        <v>0</v>
      </c>
      <c r="N550" s="4">
        <f t="shared" si="447"/>
        <v>0</v>
      </c>
      <c r="O550" s="5">
        <f t="shared" si="448"/>
        <v>30</v>
      </c>
      <c r="P550" s="6" t="str">
        <f t="shared" si="449"/>
        <v>30 Days</v>
      </c>
      <c r="Q550" s="7">
        <v>42855</v>
      </c>
      <c r="R550" s="6" t="s">
        <v>2178</v>
      </c>
      <c r="Y550" s="1" t="str">
        <f>"4560218979"</f>
        <v>4560218979</v>
      </c>
    </row>
    <row r="551" spans="1:25" x14ac:dyDescent="0.2">
      <c r="A551" s="9" t="s">
        <v>1946</v>
      </c>
      <c r="B551" s="10">
        <v>42835</v>
      </c>
      <c r="C551" s="9" t="s">
        <v>1947</v>
      </c>
      <c r="D551" s="9" t="s">
        <v>270</v>
      </c>
      <c r="E551" s="9" t="s">
        <v>2190</v>
      </c>
      <c r="F551" s="9">
        <v>0</v>
      </c>
      <c r="G551" s="8">
        <v>7120</v>
      </c>
      <c r="H551" s="4">
        <f t="shared" si="441"/>
        <v>7120</v>
      </c>
      <c r="I551" s="4">
        <f t="shared" si="442"/>
        <v>0</v>
      </c>
      <c r="J551" s="4">
        <f t="shared" si="443"/>
        <v>0</v>
      </c>
      <c r="K551" s="4">
        <f t="shared" si="444"/>
        <v>0</v>
      </c>
      <c r="L551" s="4">
        <f t="shared" si="445"/>
        <v>0</v>
      </c>
      <c r="M551" s="4">
        <f t="shared" si="446"/>
        <v>0</v>
      </c>
      <c r="N551" s="4">
        <f t="shared" si="447"/>
        <v>0</v>
      </c>
      <c r="O551" s="5">
        <f t="shared" si="448"/>
        <v>20</v>
      </c>
      <c r="P551" s="6" t="str">
        <f t="shared" si="449"/>
        <v>30 Days</v>
      </c>
      <c r="Q551" s="7">
        <v>42855</v>
      </c>
      <c r="R551" s="6" t="str">
        <f>VLOOKUP(A551:A4956,[1]BOM_INV_OPERATOR_DETAILS_OUTPUT!$A$2:$D$1233,4,FALSE)</f>
        <v>AI</v>
      </c>
      <c r="Y551" s="1" t="str">
        <f>"4570271333"</f>
        <v>4570271333</v>
      </c>
    </row>
    <row r="552" spans="1:25" x14ac:dyDescent="0.2">
      <c r="A552" s="9" t="s">
        <v>1364</v>
      </c>
      <c r="B552" s="10">
        <v>42822</v>
      </c>
      <c r="C552" s="9" t="s">
        <v>1365</v>
      </c>
      <c r="D552" s="9" t="s">
        <v>132</v>
      </c>
      <c r="E552" s="9" t="s">
        <v>2190</v>
      </c>
      <c r="F552" s="9">
        <v>100000</v>
      </c>
      <c r="G552" s="8">
        <v>7122</v>
      </c>
      <c r="H552" s="4">
        <f t="shared" si="441"/>
        <v>0</v>
      </c>
      <c r="I552" s="4">
        <f t="shared" si="442"/>
        <v>7122</v>
      </c>
      <c r="J552" s="4">
        <f t="shared" si="443"/>
        <v>0</v>
      </c>
      <c r="K552" s="4">
        <f t="shared" si="444"/>
        <v>0</v>
      </c>
      <c r="L552" s="4">
        <f t="shared" si="445"/>
        <v>0</v>
      </c>
      <c r="M552" s="4">
        <f t="shared" si="446"/>
        <v>0</v>
      </c>
      <c r="N552" s="4">
        <f t="shared" si="447"/>
        <v>0</v>
      </c>
      <c r="O552" s="5">
        <f t="shared" si="448"/>
        <v>33</v>
      </c>
      <c r="P552" s="6" t="str">
        <f t="shared" si="449"/>
        <v>31 TO 45 Days</v>
      </c>
      <c r="Q552" s="7">
        <v>42855</v>
      </c>
      <c r="R552" s="6" t="s">
        <v>2178</v>
      </c>
      <c r="Y552" s="1" t="str">
        <f>"4190209926"</f>
        <v>4190209926</v>
      </c>
    </row>
    <row r="553" spans="1:25" x14ac:dyDescent="0.2">
      <c r="A553" s="9" t="s">
        <v>441</v>
      </c>
      <c r="B553" s="10">
        <v>42767</v>
      </c>
      <c r="C553" s="9" t="s">
        <v>442</v>
      </c>
      <c r="D553" s="9" t="s">
        <v>154</v>
      </c>
      <c r="E553" s="9" t="s">
        <v>2190</v>
      </c>
      <c r="F553" s="9">
        <v>0</v>
      </c>
      <c r="G553" s="8">
        <v>7127</v>
      </c>
      <c r="H553" s="4">
        <f t="shared" si="441"/>
        <v>0</v>
      </c>
      <c r="I553" s="4">
        <f t="shared" si="442"/>
        <v>0</v>
      </c>
      <c r="J553" s="4">
        <f t="shared" si="443"/>
        <v>0</v>
      </c>
      <c r="K553" s="4">
        <f t="shared" si="444"/>
        <v>7127</v>
      </c>
      <c r="L553" s="4">
        <f t="shared" si="445"/>
        <v>0</v>
      </c>
      <c r="M553" s="4">
        <f t="shared" si="446"/>
        <v>0</v>
      </c>
      <c r="N553" s="4">
        <f t="shared" si="447"/>
        <v>7127</v>
      </c>
      <c r="O553" s="5">
        <f t="shared" si="448"/>
        <v>88</v>
      </c>
      <c r="P553" s="6" t="str">
        <f t="shared" si="449"/>
        <v>61 To 90 Days</v>
      </c>
      <c r="Q553" s="7">
        <v>42855</v>
      </c>
      <c r="R553" s="6" t="s">
        <v>2178</v>
      </c>
      <c r="Y553" s="1" t="str">
        <f>"4950136725"</f>
        <v>4950136725</v>
      </c>
    </row>
    <row r="554" spans="1:25" x14ac:dyDescent="0.2">
      <c r="A554" s="9" t="s">
        <v>1789</v>
      </c>
      <c r="B554" s="10">
        <v>42832</v>
      </c>
      <c r="C554" s="9" t="s">
        <v>1790</v>
      </c>
      <c r="D554" s="9" t="s">
        <v>1788</v>
      </c>
      <c r="E554" s="9" t="s">
        <v>2190</v>
      </c>
      <c r="F554" s="9">
        <v>0</v>
      </c>
      <c r="G554" s="8">
        <v>7137</v>
      </c>
      <c r="H554" s="4">
        <f t="shared" si="441"/>
        <v>7137</v>
      </c>
      <c r="I554" s="4">
        <f t="shared" si="442"/>
        <v>0</v>
      </c>
      <c r="J554" s="4">
        <f t="shared" si="443"/>
        <v>0</v>
      </c>
      <c r="K554" s="4">
        <f t="shared" si="444"/>
        <v>0</v>
      </c>
      <c r="L554" s="4">
        <f t="shared" si="445"/>
        <v>0</v>
      </c>
      <c r="M554" s="4">
        <f t="shared" si="446"/>
        <v>0</v>
      </c>
      <c r="N554" s="4">
        <f t="shared" si="447"/>
        <v>0</v>
      </c>
      <c r="O554" s="5">
        <f t="shared" si="448"/>
        <v>23</v>
      </c>
      <c r="P554" s="6" t="str">
        <f t="shared" si="449"/>
        <v>30 Days</v>
      </c>
      <c r="Q554" s="7">
        <v>42855</v>
      </c>
      <c r="R554" s="6" t="s">
        <v>2178</v>
      </c>
      <c r="Y554" s="1" t="str">
        <f>"4300212965"</f>
        <v>4300212965</v>
      </c>
    </row>
    <row r="555" spans="1:25" x14ac:dyDescent="0.2">
      <c r="A555" s="9" t="s">
        <v>1814</v>
      </c>
      <c r="B555" s="10">
        <v>42835</v>
      </c>
      <c r="C555" s="9" t="s">
        <v>1815</v>
      </c>
      <c r="D555" s="9" t="s">
        <v>134</v>
      </c>
      <c r="E555" s="9" t="s">
        <v>2190</v>
      </c>
      <c r="F555" s="9">
        <v>0</v>
      </c>
      <c r="G555" s="8">
        <v>7139</v>
      </c>
      <c r="H555" s="4">
        <f t="shared" si="441"/>
        <v>7139</v>
      </c>
      <c r="I555" s="4">
        <f t="shared" si="442"/>
        <v>0</v>
      </c>
      <c r="J555" s="4">
        <f t="shared" si="443"/>
        <v>0</v>
      </c>
      <c r="K555" s="4">
        <f t="shared" si="444"/>
        <v>0</v>
      </c>
      <c r="L555" s="4">
        <f t="shared" si="445"/>
        <v>0</v>
      </c>
      <c r="M555" s="4">
        <f t="shared" si="446"/>
        <v>0</v>
      </c>
      <c r="N555" s="4">
        <f t="shared" si="447"/>
        <v>0</v>
      </c>
      <c r="O555" s="5">
        <f t="shared" si="448"/>
        <v>20</v>
      </c>
      <c r="P555" s="6" t="str">
        <f t="shared" si="449"/>
        <v>30 Days</v>
      </c>
      <c r="Q555" s="7">
        <v>42855</v>
      </c>
      <c r="R555" s="6" t="str">
        <f>VLOOKUP(A555:A4968,[1]BOM_INV_OPERATOR_DETAILS_OUTPUT!$A$2:$D$1233,4,FALSE)</f>
        <v>AI</v>
      </c>
      <c r="Y555" s="1" t="str">
        <f>"4340042482"</f>
        <v>4340042482</v>
      </c>
    </row>
    <row r="556" spans="1:25" x14ac:dyDescent="0.2">
      <c r="A556" s="9" t="s">
        <v>744</v>
      </c>
      <c r="B556" s="10">
        <v>42793</v>
      </c>
      <c r="C556" s="9" t="s">
        <v>745</v>
      </c>
      <c r="D556" s="9" t="s">
        <v>743</v>
      </c>
      <c r="E556" s="9" t="s">
        <v>2190</v>
      </c>
      <c r="F556" s="9">
        <v>0</v>
      </c>
      <c r="G556" s="8">
        <v>7144</v>
      </c>
      <c r="H556" s="4">
        <f t="shared" si="441"/>
        <v>0</v>
      </c>
      <c r="I556" s="4">
        <f t="shared" si="442"/>
        <v>0</v>
      </c>
      <c r="J556" s="4">
        <f t="shared" si="443"/>
        <v>0</v>
      </c>
      <c r="K556" s="4">
        <f t="shared" si="444"/>
        <v>7144</v>
      </c>
      <c r="L556" s="4">
        <f t="shared" si="445"/>
        <v>0</v>
      </c>
      <c r="M556" s="4">
        <f t="shared" si="446"/>
        <v>0</v>
      </c>
      <c r="N556" s="4">
        <f t="shared" si="447"/>
        <v>7144</v>
      </c>
      <c r="O556" s="5">
        <f t="shared" si="448"/>
        <v>62</v>
      </c>
      <c r="P556" s="6" t="str">
        <f t="shared" si="449"/>
        <v>61 To 90 Days</v>
      </c>
      <c r="Q556" s="7">
        <v>42855</v>
      </c>
      <c r="R556" s="6" t="s">
        <v>2178</v>
      </c>
      <c r="Y556" s="1" t="str">
        <f>"4930435155"</f>
        <v>4930435155</v>
      </c>
    </row>
    <row r="557" spans="1:25" x14ac:dyDescent="0.2">
      <c r="A557" s="9" t="s">
        <v>2067</v>
      </c>
      <c r="B557" s="10">
        <v>42837</v>
      </c>
      <c r="C557" s="9" t="s">
        <v>2068</v>
      </c>
      <c r="D557" s="9" t="s">
        <v>144</v>
      </c>
      <c r="E557" s="9" t="s">
        <v>2190</v>
      </c>
      <c r="F557" s="9">
        <v>2300000</v>
      </c>
      <c r="G557" s="8">
        <v>7144</v>
      </c>
      <c r="H557" s="4">
        <f t="shared" si="441"/>
        <v>7144</v>
      </c>
      <c r="I557" s="4">
        <f t="shared" si="442"/>
        <v>0</v>
      </c>
      <c r="J557" s="4">
        <f t="shared" si="443"/>
        <v>0</v>
      </c>
      <c r="K557" s="4">
        <f t="shared" si="444"/>
        <v>0</v>
      </c>
      <c r="L557" s="4">
        <f t="shared" si="445"/>
        <v>0</v>
      </c>
      <c r="M557" s="4">
        <f t="shared" si="446"/>
        <v>0</v>
      </c>
      <c r="N557" s="4">
        <f t="shared" si="447"/>
        <v>0</v>
      </c>
      <c r="O557" s="5">
        <f t="shared" si="448"/>
        <v>18</v>
      </c>
      <c r="P557" s="6" t="str">
        <f t="shared" si="449"/>
        <v>30 Days</v>
      </c>
      <c r="Q557" s="7">
        <v>42855</v>
      </c>
      <c r="R557" s="6" t="str">
        <f>VLOOKUP(A557:A4972,[1]BOM_INV_OPERATOR_DETAILS_OUTPUT!$A$2:$D$1233,4,FALSE)</f>
        <v>AI</v>
      </c>
      <c r="Y557" s="1" t="str">
        <f>"4912920586"</f>
        <v>4912920586</v>
      </c>
    </row>
    <row r="558" spans="1:25" x14ac:dyDescent="0.2">
      <c r="A558" s="9" t="s">
        <v>216</v>
      </c>
      <c r="B558" s="10">
        <v>42732</v>
      </c>
      <c r="C558" s="9" t="s">
        <v>217</v>
      </c>
      <c r="D558" s="9" t="s">
        <v>133</v>
      </c>
      <c r="E558" s="9" t="s">
        <v>2190</v>
      </c>
      <c r="F558" s="9">
        <v>20000000</v>
      </c>
      <c r="G558" s="8">
        <v>7145</v>
      </c>
      <c r="H558" s="4">
        <f t="shared" si="441"/>
        <v>0</v>
      </c>
      <c r="I558" s="4">
        <f t="shared" si="442"/>
        <v>0</v>
      </c>
      <c r="J558" s="4">
        <f t="shared" si="443"/>
        <v>0</v>
      </c>
      <c r="K558" s="4">
        <f t="shared" si="444"/>
        <v>0</v>
      </c>
      <c r="L558" s="4">
        <f t="shared" si="445"/>
        <v>0</v>
      </c>
      <c r="M558" s="4">
        <f t="shared" si="446"/>
        <v>7145</v>
      </c>
      <c r="N558" s="4">
        <f t="shared" si="447"/>
        <v>7145</v>
      </c>
      <c r="O558" s="5">
        <f t="shared" si="448"/>
        <v>123</v>
      </c>
      <c r="P558" s="6" t="str">
        <f t="shared" si="449"/>
        <v>Plus120Days</v>
      </c>
      <c r="Q558" s="7">
        <v>42855</v>
      </c>
      <c r="R558" s="6" t="s">
        <v>2178</v>
      </c>
      <c r="V558" s="1" t="s">
        <v>13</v>
      </c>
      <c r="Y558" s="1" t="str">
        <f>"4711217754"</f>
        <v>4711217754</v>
      </c>
    </row>
    <row r="559" spans="1:25" x14ac:dyDescent="0.2">
      <c r="A559" s="9" t="s">
        <v>1740</v>
      </c>
      <c r="B559" s="10">
        <v>42831</v>
      </c>
      <c r="C559" s="9" t="s">
        <v>1741</v>
      </c>
      <c r="D559" s="9" t="s">
        <v>241</v>
      </c>
      <c r="E559" s="9" t="s">
        <v>2190</v>
      </c>
      <c r="F559" s="9">
        <v>75000</v>
      </c>
      <c r="G559" s="8">
        <v>7151</v>
      </c>
      <c r="H559" s="4">
        <f t="shared" si="441"/>
        <v>7151</v>
      </c>
      <c r="I559" s="4">
        <f t="shared" si="442"/>
        <v>0</v>
      </c>
      <c r="J559" s="4">
        <f t="shared" si="443"/>
        <v>0</v>
      </c>
      <c r="K559" s="4">
        <f t="shared" si="444"/>
        <v>0</v>
      </c>
      <c r="L559" s="4">
        <f t="shared" si="445"/>
        <v>0</v>
      </c>
      <c r="M559" s="4">
        <f t="shared" si="446"/>
        <v>0</v>
      </c>
      <c r="N559" s="4">
        <f t="shared" si="447"/>
        <v>0</v>
      </c>
      <c r="O559" s="5">
        <f t="shared" si="448"/>
        <v>24</v>
      </c>
      <c r="P559" s="6" t="str">
        <f t="shared" si="449"/>
        <v>30 Days</v>
      </c>
      <c r="Q559" s="7">
        <v>42855</v>
      </c>
      <c r="R559" s="6" t="s">
        <v>2178</v>
      </c>
      <c r="Y559" s="1" t="str">
        <f>"4850057268"</f>
        <v>4850057268</v>
      </c>
    </row>
    <row r="560" spans="1:25" x14ac:dyDescent="0.2">
      <c r="A560" s="9" t="s">
        <v>1001</v>
      </c>
      <c r="B560" s="10">
        <v>42808</v>
      </c>
      <c r="C560" s="9" t="s">
        <v>1002</v>
      </c>
      <c r="D560" s="9" t="s">
        <v>32</v>
      </c>
      <c r="E560" s="9" t="s">
        <v>2190</v>
      </c>
      <c r="F560" s="9">
        <v>25000000</v>
      </c>
      <c r="G560" s="8">
        <v>7157</v>
      </c>
      <c r="H560" s="4">
        <f t="shared" si="441"/>
        <v>0</v>
      </c>
      <c r="I560" s="4">
        <f t="shared" si="442"/>
        <v>0</v>
      </c>
      <c r="J560" s="4">
        <f t="shared" si="443"/>
        <v>7157</v>
      </c>
      <c r="K560" s="4">
        <f t="shared" si="444"/>
        <v>0</v>
      </c>
      <c r="L560" s="4">
        <f t="shared" si="445"/>
        <v>0</v>
      </c>
      <c r="M560" s="4">
        <f t="shared" si="446"/>
        <v>0</v>
      </c>
      <c r="N560" s="4">
        <f t="shared" si="447"/>
        <v>0</v>
      </c>
      <c r="O560" s="5">
        <f t="shared" si="448"/>
        <v>47</v>
      </c>
      <c r="P560" s="6" t="str">
        <f t="shared" si="449"/>
        <v>46 To 60 Days</v>
      </c>
      <c r="Q560" s="7">
        <v>42855</v>
      </c>
      <c r="R560" s="6" t="s">
        <v>2178</v>
      </c>
      <c r="V560" s="1" t="s">
        <v>13</v>
      </c>
      <c r="W560" s="2">
        <v>42808</v>
      </c>
      <c r="X560" s="1" t="s">
        <v>14</v>
      </c>
      <c r="Y560" s="1" t="str">
        <f>"4071587282"</f>
        <v>4071587282</v>
      </c>
    </row>
    <row r="561" spans="1:25" x14ac:dyDescent="0.2">
      <c r="A561" s="9" t="s">
        <v>676</v>
      </c>
      <c r="B561" s="10">
        <v>42790</v>
      </c>
      <c r="C561" s="9" t="s">
        <v>677</v>
      </c>
      <c r="D561" s="9" t="s">
        <v>30</v>
      </c>
      <c r="E561" s="9" t="s">
        <v>2190</v>
      </c>
      <c r="F561" s="9">
        <v>700000</v>
      </c>
      <c r="G561" s="8">
        <v>7161</v>
      </c>
      <c r="H561" s="4">
        <f t="shared" si="441"/>
        <v>0</v>
      </c>
      <c r="I561" s="4">
        <f t="shared" si="442"/>
        <v>0</v>
      </c>
      <c r="J561" s="4">
        <f t="shared" si="443"/>
        <v>0</v>
      </c>
      <c r="K561" s="4">
        <f t="shared" si="444"/>
        <v>7161</v>
      </c>
      <c r="L561" s="4">
        <f t="shared" si="445"/>
        <v>0</v>
      </c>
      <c r="M561" s="4">
        <f t="shared" si="446"/>
        <v>0</v>
      </c>
      <c r="N561" s="4">
        <f t="shared" si="447"/>
        <v>7161</v>
      </c>
      <c r="O561" s="5">
        <f t="shared" si="448"/>
        <v>65</v>
      </c>
      <c r="P561" s="6" t="str">
        <f t="shared" si="449"/>
        <v>61 To 90 Days</v>
      </c>
      <c r="Q561" s="7">
        <v>42855</v>
      </c>
      <c r="R561" s="6" t="s">
        <v>2178</v>
      </c>
      <c r="Y561" s="1" t="str">
        <f>"4600157105"</f>
        <v>4600157105</v>
      </c>
    </row>
    <row r="562" spans="1:25" x14ac:dyDescent="0.2">
      <c r="A562" s="9" t="s">
        <v>367</v>
      </c>
      <c r="B562" s="10">
        <v>42758</v>
      </c>
      <c r="C562" s="9" t="s">
        <v>368</v>
      </c>
      <c r="D562" s="9" t="s">
        <v>270</v>
      </c>
      <c r="E562" s="9" t="s">
        <v>2190</v>
      </c>
      <c r="F562" s="9">
        <v>0</v>
      </c>
      <c r="G562" s="8">
        <v>7163</v>
      </c>
      <c r="H562" s="4">
        <f t="shared" si="441"/>
        <v>0</v>
      </c>
      <c r="I562" s="4">
        <f t="shared" si="442"/>
        <v>0</v>
      </c>
      <c r="J562" s="4">
        <f t="shared" si="443"/>
        <v>0</v>
      </c>
      <c r="K562" s="4">
        <f t="shared" si="444"/>
        <v>0</v>
      </c>
      <c r="L562" s="4">
        <f t="shared" si="445"/>
        <v>7163</v>
      </c>
      <c r="M562" s="4">
        <f t="shared" si="446"/>
        <v>0</v>
      </c>
      <c r="N562" s="4">
        <f t="shared" si="447"/>
        <v>7163</v>
      </c>
      <c r="O562" s="5">
        <f t="shared" si="448"/>
        <v>97</v>
      </c>
      <c r="P562" s="6" t="str">
        <f t="shared" si="449"/>
        <v>91 To 120 Days</v>
      </c>
      <c r="Q562" s="7">
        <v>42855</v>
      </c>
      <c r="R562" s="6" t="s">
        <v>2178</v>
      </c>
      <c r="Y562" s="1" t="str">
        <f>"4560216557"</f>
        <v>4560216557</v>
      </c>
    </row>
    <row r="563" spans="1:25" x14ac:dyDescent="0.2">
      <c r="A563" s="9" t="s">
        <v>1093</v>
      </c>
      <c r="B563" s="10">
        <v>42814</v>
      </c>
      <c r="C563" s="9" t="s">
        <v>1094</v>
      </c>
      <c r="D563" s="9" t="s">
        <v>148</v>
      </c>
      <c r="E563" s="9" t="s">
        <v>2190</v>
      </c>
      <c r="F563" s="9">
        <v>500000</v>
      </c>
      <c r="G563" s="8">
        <v>7167</v>
      </c>
      <c r="H563" s="4">
        <f t="shared" si="441"/>
        <v>0</v>
      </c>
      <c r="I563" s="4">
        <f t="shared" si="442"/>
        <v>7167</v>
      </c>
      <c r="J563" s="4">
        <f t="shared" si="443"/>
        <v>0</v>
      </c>
      <c r="K563" s="4">
        <f t="shared" si="444"/>
        <v>0</v>
      </c>
      <c r="L563" s="4">
        <f t="shared" si="445"/>
        <v>0</v>
      </c>
      <c r="M563" s="4">
        <f t="shared" si="446"/>
        <v>0</v>
      </c>
      <c r="N563" s="4">
        <f t="shared" si="447"/>
        <v>0</v>
      </c>
      <c r="O563" s="5">
        <f t="shared" si="448"/>
        <v>41</v>
      </c>
      <c r="P563" s="6" t="str">
        <f t="shared" si="449"/>
        <v>31 TO 45 Days</v>
      </c>
      <c r="Q563" s="7">
        <v>42855</v>
      </c>
      <c r="R563" s="6" t="s">
        <v>2178</v>
      </c>
      <c r="Y563" s="1" t="str">
        <f>"4750387611"</f>
        <v>4750387611</v>
      </c>
    </row>
    <row r="564" spans="1:25" x14ac:dyDescent="0.2">
      <c r="A564" s="9" t="s">
        <v>1095</v>
      </c>
      <c r="B564" s="10">
        <v>42814</v>
      </c>
      <c r="C564" s="9" t="s">
        <v>1096</v>
      </c>
      <c r="D564" s="9" t="s">
        <v>148</v>
      </c>
      <c r="E564" s="9" t="s">
        <v>2190</v>
      </c>
      <c r="F564" s="9">
        <v>500000</v>
      </c>
      <c r="G564" s="8">
        <v>7167</v>
      </c>
      <c r="H564" s="4">
        <f t="shared" si="441"/>
        <v>0</v>
      </c>
      <c r="I564" s="4">
        <f t="shared" si="442"/>
        <v>7167</v>
      </c>
      <c r="J564" s="4">
        <f t="shared" si="443"/>
        <v>0</v>
      </c>
      <c r="K564" s="4">
        <f t="shared" si="444"/>
        <v>0</v>
      </c>
      <c r="L564" s="4">
        <f t="shared" si="445"/>
        <v>0</v>
      </c>
      <c r="M564" s="4">
        <f t="shared" si="446"/>
        <v>0</v>
      </c>
      <c r="N564" s="4">
        <f t="shared" si="447"/>
        <v>0</v>
      </c>
      <c r="O564" s="5">
        <f t="shared" si="448"/>
        <v>41</v>
      </c>
      <c r="P564" s="6" t="str">
        <f t="shared" si="449"/>
        <v>31 TO 45 Days</v>
      </c>
      <c r="Q564" s="7">
        <v>42855</v>
      </c>
      <c r="R564" s="6" t="s">
        <v>2178</v>
      </c>
      <c r="Y564" s="1" t="str">
        <f>"4750387610"</f>
        <v>4750387610</v>
      </c>
    </row>
    <row r="565" spans="1:25" x14ac:dyDescent="0.2">
      <c r="A565" s="9" t="s">
        <v>1097</v>
      </c>
      <c r="B565" s="10">
        <v>42814</v>
      </c>
      <c r="C565" s="9" t="s">
        <v>1098</v>
      </c>
      <c r="D565" s="9" t="s">
        <v>148</v>
      </c>
      <c r="E565" s="9" t="s">
        <v>2190</v>
      </c>
      <c r="F565" s="9">
        <v>500000</v>
      </c>
      <c r="G565" s="8">
        <v>7167</v>
      </c>
      <c r="H565" s="4">
        <f t="shared" si="441"/>
        <v>0</v>
      </c>
      <c r="I565" s="4">
        <f t="shared" si="442"/>
        <v>7167</v>
      </c>
      <c r="J565" s="4">
        <f t="shared" si="443"/>
        <v>0</v>
      </c>
      <c r="K565" s="4">
        <f t="shared" si="444"/>
        <v>0</v>
      </c>
      <c r="L565" s="4">
        <f t="shared" si="445"/>
        <v>0</v>
      </c>
      <c r="M565" s="4">
        <f t="shared" si="446"/>
        <v>0</v>
      </c>
      <c r="N565" s="4">
        <f t="shared" si="447"/>
        <v>0</v>
      </c>
      <c r="O565" s="5">
        <f t="shared" si="448"/>
        <v>41</v>
      </c>
      <c r="P565" s="6" t="str">
        <f t="shared" si="449"/>
        <v>31 TO 45 Days</v>
      </c>
      <c r="Q565" s="7">
        <v>42855</v>
      </c>
      <c r="R565" s="6" t="s">
        <v>2178</v>
      </c>
      <c r="Y565" s="1" t="str">
        <f>"4750387704"</f>
        <v>4750387704</v>
      </c>
    </row>
    <row r="566" spans="1:25" x14ac:dyDescent="0.2">
      <c r="A566" s="9" t="s">
        <v>1099</v>
      </c>
      <c r="B566" s="10">
        <v>42814</v>
      </c>
      <c r="C566" s="9" t="s">
        <v>1100</v>
      </c>
      <c r="D566" s="9" t="s">
        <v>148</v>
      </c>
      <c r="E566" s="9" t="s">
        <v>2190</v>
      </c>
      <c r="F566" s="9">
        <v>500000</v>
      </c>
      <c r="G566" s="8">
        <v>7167</v>
      </c>
      <c r="H566" s="4">
        <f t="shared" si="441"/>
        <v>0</v>
      </c>
      <c r="I566" s="4">
        <f t="shared" si="442"/>
        <v>7167</v>
      </c>
      <c r="J566" s="4">
        <f t="shared" si="443"/>
        <v>0</v>
      </c>
      <c r="K566" s="4">
        <f t="shared" si="444"/>
        <v>0</v>
      </c>
      <c r="L566" s="4">
        <f t="shared" si="445"/>
        <v>0</v>
      </c>
      <c r="M566" s="4">
        <f t="shared" si="446"/>
        <v>0</v>
      </c>
      <c r="N566" s="4">
        <f t="shared" si="447"/>
        <v>0</v>
      </c>
      <c r="O566" s="5">
        <f t="shared" si="448"/>
        <v>41</v>
      </c>
      <c r="P566" s="6" t="str">
        <f t="shared" si="449"/>
        <v>31 TO 45 Days</v>
      </c>
      <c r="Q566" s="7">
        <v>42855</v>
      </c>
      <c r="R566" s="6" t="s">
        <v>2178</v>
      </c>
      <c r="Y566" s="1" t="str">
        <f>"4750387787"</f>
        <v>4750387787</v>
      </c>
    </row>
    <row r="567" spans="1:25" x14ac:dyDescent="0.2">
      <c r="A567" s="9" t="s">
        <v>1101</v>
      </c>
      <c r="B567" s="10">
        <v>42814</v>
      </c>
      <c r="C567" s="9" t="s">
        <v>1102</v>
      </c>
      <c r="D567" s="9" t="s">
        <v>148</v>
      </c>
      <c r="E567" s="9" t="s">
        <v>2190</v>
      </c>
      <c r="F567" s="9">
        <v>500000</v>
      </c>
      <c r="G567" s="8">
        <v>7167</v>
      </c>
      <c r="H567" s="4">
        <f t="shared" si="441"/>
        <v>0</v>
      </c>
      <c r="I567" s="4">
        <f t="shared" si="442"/>
        <v>7167</v>
      </c>
      <c r="J567" s="4">
        <f t="shared" si="443"/>
        <v>0</v>
      </c>
      <c r="K567" s="4">
        <f t="shared" si="444"/>
        <v>0</v>
      </c>
      <c r="L567" s="4">
        <f t="shared" si="445"/>
        <v>0</v>
      </c>
      <c r="M567" s="4">
        <f t="shared" si="446"/>
        <v>0</v>
      </c>
      <c r="N567" s="4">
        <f t="shared" si="447"/>
        <v>0</v>
      </c>
      <c r="O567" s="5">
        <f t="shared" si="448"/>
        <v>41</v>
      </c>
      <c r="P567" s="6" t="str">
        <f t="shared" si="449"/>
        <v>31 TO 45 Days</v>
      </c>
      <c r="Q567" s="7">
        <v>42855</v>
      </c>
      <c r="R567" s="6" t="s">
        <v>2178</v>
      </c>
      <c r="Y567" s="1" t="str">
        <f>"4750387790"</f>
        <v>4750387790</v>
      </c>
    </row>
    <row r="568" spans="1:25" x14ac:dyDescent="0.2">
      <c r="A568" s="9" t="s">
        <v>1103</v>
      </c>
      <c r="B568" s="10">
        <v>42814</v>
      </c>
      <c r="C568" s="9" t="s">
        <v>1104</v>
      </c>
      <c r="D568" s="9" t="s">
        <v>148</v>
      </c>
      <c r="E568" s="9" t="s">
        <v>2190</v>
      </c>
      <c r="F568" s="9">
        <v>500000</v>
      </c>
      <c r="G568" s="8">
        <v>7167</v>
      </c>
      <c r="H568" s="4">
        <f t="shared" si="441"/>
        <v>0</v>
      </c>
      <c r="I568" s="4">
        <f t="shared" si="442"/>
        <v>7167</v>
      </c>
      <c r="J568" s="4">
        <f t="shared" si="443"/>
        <v>0</v>
      </c>
      <c r="K568" s="4">
        <f t="shared" si="444"/>
        <v>0</v>
      </c>
      <c r="L568" s="4">
        <f t="shared" si="445"/>
        <v>0</v>
      </c>
      <c r="M568" s="4">
        <f t="shared" si="446"/>
        <v>0</v>
      </c>
      <c r="N568" s="4">
        <f t="shared" si="447"/>
        <v>0</v>
      </c>
      <c r="O568" s="5">
        <f t="shared" si="448"/>
        <v>41</v>
      </c>
      <c r="P568" s="6" t="str">
        <f t="shared" si="449"/>
        <v>31 TO 45 Days</v>
      </c>
      <c r="Q568" s="7">
        <v>42855</v>
      </c>
      <c r="R568" s="6" t="s">
        <v>2178</v>
      </c>
      <c r="Y568" s="1" t="str">
        <f>"4750387802"</f>
        <v>4750387802</v>
      </c>
    </row>
    <row r="569" spans="1:25" x14ac:dyDescent="0.2">
      <c r="A569" s="9" t="s">
        <v>1105</v>
      </c>
      <c r="B569" s="10">
        <v>42814</v>
      </c>
      <c r="C569" s="9" t="s">
        <v>1106</v>
      </c>
      <c r="D569" s="9" t="s">
        <v>148</v>
      </c>
      <c r="E569" s="9" t="s">
        <v>2190</v>
      </c>
      <c r="F569" s="9">
        <v>500000</v>
      </c>
      <c r="G569" s="8">
        <v>7167</v>
      </c>
      <c r="H569" s="4">
        <f t="shared" si="441"/>
        <v>0</v>
      </c>
      <c r="I569" s="4">
        <f t="shared" si="442"/>
        <v>7167</v>
      </c>
      <c r="J569" s="4">
        <f t="shared" si="443"/>
        <v>0</v>
      </c>
      <c r="K569" s="4">
        <f t="shared" si="444"/>
        <v>0</v>
      </c>
      <c r="L569" s="4">
        <f t="shared" si="445"/>
        <v>0</v>
      </c>
      <c r="M569" s="4">
        <f t="shared" si="446"/>
        <v>0</v>
      </c>
      <c r="N569" s="4">
        <f t="shared" si="447"/>
        <v>0</v>
      </c>
      <c r="O569" s="5">
        <f t="shared" si="448"/>
        <v>41</v>
      </c>
      <c r="P569" s="6" t="str">
        <f t="shared" si="449"/>
        <v>31 TO 45 Days</v>
      </c>
      <c r="Q569" s="7">
        <v>42855</v>
      </c>
      <c r="R569" s="6" t="s">
        <v>2178</v>
      </c>
      <c r="Y569" s="1" t="str">
        <f>"4750388288"</f>
        <v>4750388288</v>
      </c>
    </row>
    <row r="570" spans="1:25" x14ac:dyDescent="0.2">
      <c r="A570" s="9" t="s">
        <v>1107</v>
      </c>
      <c r="B570" s="10">
        <v>42814</v>
      </c>
      <c r="C570" s="9" t="s">
        <v>1108</v>
      </c>
      <c r="D570" s="9" t="s">
        <v>148</v>
      </c>
      <c r="E570" s="9" t="s">
        <v>2190</v>
      </c>
      <c r="F570" s="9">
        <v>500000</v>
      </c>
      <c r="G570" s="8">
        <v>7167</v>
      </c>
      <c r="H570" s="4">
        <f t="shared" si="441"/>
        <v>0</v>
      </c>
      <c r="I570" s="4">
        <f t="shared" si="442"/>
        <v>7167</v>
      </c>
      <c r="J570" s="4">
        <f t="shared" si="443"/>
        <v>0</v>
      </c>
      <c r="K570" s="4">
        <f t="shared" si="444"/>
        <v>0</v>
      </c>
      <c r="L570" s="4">
        <f t="shared" si="445"/>
        <v>0</v>
      </c>
      <c r="M570" s="4">
        <f t="shared" si="446"/>
        <v>0</v>
      </c>
      <c r="N570" s="4">
        <f t="shared" si="447"/>
        <v>0</v>
      </c>
      <c r="O570" s="5">
        <f t="shared" si="448"/>
        <v>41</v>
      </c>
      <c r="P570" s="6" t="str">
        <f t="shared" si="449"/>
        <v>31 TO 45 Days</v>
      </c>
      <c r="Q570" s="7">
        <v>42855</v>
      </c>
      <c r="R570" s="6" t="s">
        <v>2178</v>
      </c>
      <c r="Y570" s="1" t="str">
        <f>"4750388290"</f>
        <v>4750388290</v>
      </c>
    </row>
    <row r="571" spans="1:25" x14ac:dyDescent="0.2">
      <c r="A571" s="9" t="s">
        <v>1109</v>
      </c>
      <c r="B571" s="10">
        <v>42814</v>
      </c>
      <c r="C571" s="9" t="s">
        <v>1110</v>
      </c>
      <c r="D571" s="9" t="s">
        <v>148</v>
      </c>
      <c r="E571" s="9" t="s">
        <v>2190</v>
      </c>
      <c r="F571" s="9">
        <v>500000</v>
      </c>
      <c r="G571" s="8">
        <v>7167</v>
      </c>
      <c r="H571" s="4">
        <f t="shared" si="441"/>
        <v>0</v>
      </c>
      <c r="I571" s="4">
        <f t="shared" si="442"/>
        <v>7167</v>
      </c>
      <c r="J571" s="4">
        <f t="shared" si="443"/>
        <v>0</v>
      </c>
      <c r="K571" s="4">
        <f t="shared" si="444"/>
        <v>0</v>
      </c>
      <c r="L571" s="4">
        <f t="shared" si="445"/>
        <v>0</v>
      </c>
      <c r="M571" s="4">
        <f t="shared" si="446"/>
        <v>0</v>
      </c>
      <c r="N571" s="4">
        <f t="shared" si="447"/>
        <v>0</v>
      </c>
      <c r="O571" s="5">
        <f t="shared" si="448"/>
        <v>41</v>
      </c>
      <c r="P571" s="6" t="str">
        <f t="shared" si="449"/>
        <v>31 TO 45 Days</v>
      </c>
      <c r="Q571" s="7">
        <v>42855</v>
      </c>
      <c r="R571" s="6" t="s">
        <v>2178</v>
      </c>
      <c r="Y571" s="1" t="str">
        <f>"4750387791"</f>
        <v>4750387791</v>
      </c>
    </row>
    <row r="572" spans="1:25" x14ac:dyDescent="0.2">
      <c r="A572" s="9" t="s">
        <v>1512</v>
      </c>
      <c r="B572" s="10">
        <v>42824</v>
      </c>
      <c r="C572" s="9" t="s">
        <v>1513</v>
      </c>
      <c r="D572" s="9" t="s">
        <v>241</v>
      </c>
      <c r="E572" s="9" t="s">
        <v>2190</v>
      </c>
      <c r="F572" s="9">
        <v>75000</v>
      </c>
      <c r="G572" s="8">
        <v>7176</v>
      </c>
      <c r="H572" s="4">
        <f t="shared" si="441"/>
        <v>0</v>
      </c>
      <c r="I572" s="4">
        <f t="shared" si="442"/>
        <v>7176</v>
      </c>
      <c r="J572" s="4">
        <f t="shared" si="443"/>
        <v>0</v>
      </c>
      <c r="K572" s="4">
        <f t="shared" si="444"/>
        <v>0</v>
      </c>
      <c r="L572" s="4">
        <f t="shared" si="445"/>
        <v>0</v>
      </c>
      <c r="M572" s="4">
        <f t="shared" si="446"/>
        <v>0</v>
      </c>
      <c r="N572" s="4">
        <f t="shared" si="447"/>
        <v>0</v>
      </c>
      <c r="O572" s="5">
        <f t="shared" si="448"/>
        <v>31</v>
      </c>
      <c r="P572" s="6" t="str">
        <f t="shared" si="449"/>
        <v>31 TO 45 Days</v>
      </c>
      <c r="Q572" s="7">
        <v>42855</v>
      </c>
      <c r="R572" s="6" t="s">
        <v>2178</v>
      </c>
      <c r="Y572" s="1" t="str">
        <f>"4850057153"</f>
        <v>4850057153</v>
      </c>
    </row>
    <row r="573" spans="1:25" x14ac:dyDescent="0.2">
      <c r="A573" s="9" t="s">
        <v>1005</v>
      </c>
      <c r="B573" s="10">
        <v>42809</v>
      </c>
      <c r="C573" s="9" t="s">
        <v>1006</v>
      </c>
      <c r="D573" s="9" t="s">
        <v>148</v>
      </c>
      <c r="E573" s="9" t="s">
        <v>2190</v>
      </c>
      <c r="F573" s="9">
        <v>500000</v>
      </c>
      <c r="G573" s="8">
        <v>7180</v>
      </c>
      <c r="H573" s="4">
        <f t="shared" si="441"/>
        <v>0</v>
      </c>
      <c r="I573" s="4">
        <f t="shared" si="442"/>
        <v>0</v>
      </c>
      <c r="J573" s="4">
        <f t="shared" si="443"/>
        <v>7180</v>
      </c>
      <c r="K573" s="4">
        <f t="shared" si="444"/>
        <v>0</v>
      </c>
      <c r="L573" s="4">
        <f t="shared" si="445"/>
        <v>0</v>
      </c>
      <c r="M573" s="4">
        <f t="shared" si="446"/>
        <v>0</v>
      </c>
      <c r="N573" s="4">
        <f t="shared" si="447"/>
        <v>0</v>
      </c>
      <c r="O573" s="5">
        <f t="shared" si="448"/>
        <v>46</v>
      </c>
      <c r="P573" s="6" t="str">
        <f t="shared" si="449"/>
        <v>46 To 60 Days</v>
      </c>
      <c r="Q573" s="7">
        <v>42855</v>
      </c>
      <c r="R573" s="6" t="s">
        <v>2178</v>
      </c>
      <c r="Y573" s="1" t="str">
        <f>"4750388226"</f>
        <v>4750388226</v>
      </c>
    </row>
    <row r="574" spans="1:25" x14ac:dyDescent="0.2">
      <c r="A574" s="9" t="s">
        <v>1481</v>
      </c>
      <c r="B574" s="10">
        <v>42824</v>
      </c>
      <c r="C574" s="9" t="s">
        <v>1482</v>
      </c>
      <c r="D574" s="9" t="s">
        <v>30</v>
      </c>
      <c r="E574" s="9" t="s">
        <v>2190</v>
      </c>
      <c r="F574" s="9">
        <v>700000</v>
      </c>
      <c r="G574" s="8">
        <v>7180</v>
      </c>
      <c r="H574" s="4">
        <f t="shared" si="441"/>
        <v>0</v>
      </c>
      <c r="I574" s="4">
        <f t="shared" si="442"/>
        <v>7180</v>
      </c>
      <c r="J574" s="4">
        <f t="shared" si="443"/>
        <v>0</v>
      </c>
      <c r="K574" s="4">
        <f t="shared" si="444"/>
        <v>0</v>
      </c>
      <c r="L574" s="4">
        <f t="shared" si="445"/>
        <v>0</v>
      </c>
      <c r="M574" s="4">
        <f t="shared" si="446"/>
        <v>0</v>
      </c>
      <c r="N574" s="4">
        <f t="shared" si="447"/>
        <v>0</v>
      </c>
      <c r="O574" s="5">
        <f t="shared" si="448"/>
        <v>31</v>
      </c>
      <c r="P574" s="6" t="str">
        <f t="shared" si="449"/>
        <v>31 TO 45 Days</v>
      </c>
      <c r="Q574" s="7">
        <v>42855</v>
      </c>
      <c r="R574" s="6" t="s">
        <v>2178</v>
      </c>
      <c r="Y574" s="1" t="str">
        <f>"4600158603"</f>
        <v>4600158603</v>
      </c>
    </row>
    <row r="575" spans="1:25" x14ac:dyDescent="0.2">
      <c r="A575" s="9" t="s">
        <v>989</v>
      </c>
      <c r="B575" s="10">
        <v>42808</v>
      </c>
      <c r="C575" s="9" t="s">
        <v>990</v>
      </c>
      <c r="D575" s="9" t="s">
        <v>148</v>
      </c>
      <c r="E575" s="9" t="s">
        <v>2190</v>
      </c>
      <c r="F575" s="9">
        <v>500000</v>
      </c>
      <c r="G575" s="8">
        <v>7182</v>
      </c>
      <c r="H575" s="4">
        <f t="shared" si="441"/>
        <v>0</v>
      </c>
      <c r="I575" s="4">
        <f t="shared" si="442"/>
        <v>0</v>
      </c>
      <c r="J575" s="4">
        <f t="shared" si="443"/>
        <v>7182</v>
      </c>
      <c r="K575" s="4">
        <f t="shared" si="444"/>
        <v>0</v>
      </c>
      <c r="L575" s="4">
        <f t="shared" si="445"/>
        <v>0</v>
      </c>
      <c r="M575" s="4">
        <f t="shared" si="446"/>
        <v>0</v>
      </c>
      <c r="N575" s="4">
        <f t="shared" si="447"/>
        <v>0</v>
      </c>
      <c r="O575" s="5">
        <f t="shared" si="448"/>
        <v>47</v>
      </c>
      <c r="P575" s="6" t="str">
        <f t="shared" si="449"/>
        <v>46 To 60 Days</v>
      </c>
      <c r="Q575" s="7">
        <v>42855</v>
      </c>
      <c r="R575" s="6" t="s">
        <v>2178</v>
      </c>
      <c r="Y575" s="1" t="str">
        <f>"4540130788"</f>
        <v>4540130788</v>
      </c>
    </row>
    <row r="576" spans="1:25" x14ac:dyDescent="0.2">
      <c r="A576" s="9" t="s">
        <v>1433</v>
      </c>
      <c r="B576" s="10">
        <v>42823</v>
      </c>
      <c r="C576" s="9" t="s">
        <v>1434</v>
      </c>
      <c r="D576" s="9" t="s">
        <v>148</v>
      </c>
      <c r="E576" s="9" t="s">
        <v>2190</v>
      </c>
      <c r="F576" s="9">
        <v>500000</v>
      </c>
      <c r="G576" s="8">
        <v>7185</v>
      </c>
      <c r="H576" s="4">
        <f t="shared" si="441"/>
        <v>0</v>
      </c>
      <c r="I576" s="4">
        <f t="shared" si="442"/>
        <v>7185</v>
      </c>
      <c r="J576" s="4">
        <f t="shared" si="443"/>
        <v>0</v>
      </c>
      <c r="K576" s="4">
        <f t="shared" si="444"/>
        <v>0</v>
      </c>
      <c r="L576" s="4">
        <f t="shared" si="445"/>
        <v>0</v>
      </c>
      <c r="M576" s="4">
        <f t="shared" si="446"/>
        <v>0</v>
      </c>
      <c r="N576" s="4">
        <f t="shared" si="447"/>
        <v>0</v>
      </c>
      <c r="O576" s="5">
        <f t="shared" si="448"/>
        <v>32</v>
      </c>
      <c r="P576" s="6" t="str">
        <f t="shared" si="449"/>
        <v>31 TO 45 Days</v>
      </c>
      <c r="Q576" s="7">
        <v>42855</v>
      </c>
      <c r="R576" s="6" t="s">
        <v>2178</v>
      </c>
      <c r="Y576" s="1" t="str">
        <f>"4750388833"</f>
        <v>4750388833</v>
      </c>
    </row>
    <row r="577" spans="1:25" x14ac:dyDescent="0.2">
      <c r="A577" s="9" t="s">
        <v>1303</v>
      </c>
      <c r="B577" s="10">
        <v>42819</v>
      </c>
      <c r="C577" s="9" t="s">
        <v>1304</v>
      </c>
      <c r="D577" s="9" t="s">
        <v>148</v>
      </c>
      <c r="E577" s="9" t="s">
        <v>2190</v>
      </c>
      <c r="F577" s="9">
        <v>500000</v>
      </c>
      <c r="G577" s="8">
        <v>7189</v>
      </c>
      <c r="H577" s="4">
        <f t="shared" si="441"/>
        <v>0</v>
      </c>
      <c r="I577" s="4">
        <f t="shared" si="442"/>
        <v>7189</v>
      </c>
      <c r="J577" s="4">
        <f t="shared" si="443"/>
        <v>0</v>
      </c>
      <c r="K577" s="4">
        <f t="shared" si="444"/>
        <v>0</v>
      </c>
      <c r="L577" s="4">
        <f t="shared" si="445"/>
        <v>0</v>
      </c>
      <c r="M577" s="4">
        <f t="shared" si="446"/>
        <v>0</v>
      </c>
      <c r="N577" s="4">
        <f t="shared" si="447"/>
        <v>0</v>
      </c>
      <c r="O577" s="5">
        <f t="shared" si="448"/>
        <v>36</v>
      </c>
      <c r="P577" s="6" t="str">
        <f t="shared" si="449"/>
        <v>31 TO 45 Days</v>
      </c>
      <c r="Q577" s="7">
        <v>42855</v>
      </c>
      <c r="R577" s="6" t="s">
        <v>2178</v>
      </c>
      <c r="Y577" s="1" t="str">
        <f>"4750388192"</f>
        <v>4750388192</v>
      </c>
    </row>
    <row r="578" spans="1:25" x14ac:dyDescent="0.2">
      <c r="A578" s="9" t="s">
        <v>1305</v>
      </c>
      <c r="B578" s="10">
        <v>42819</v>
      </c>
      <c r="C578" s="9" t="s">
        <v>1306</v>
      </c>
      <c r="D578" s="9" t="s">
        <v>148</v>
      </c>
      <c r="E578" s="9" t="s">
        <v>2190</v>
      </c>
      <c r="F578" s="9">
        <v>500000</v>
      </c>
      <c r="G578" s="8">
        <v>7189</v>
      </c>
      <c r="H578" s="4">
        <f t="shared" si="441"/>
        <v>0</v>
      </c>
      <c r="I578" s="4">
        <f t="shared" si="442"/>
        <v>7189</v>
      </c>
      <c r="J578" s="4">
        <f t="shared" si="443"/>
        <v>0</v>
      </c>
      <c r="K578" s="4">
        <f t="shared" si="444"/>
        <v>0</v>
      </c>
      <c r="L578" s="4">
        <f t="shared" si="445"/>
        <v>0</v>
      </c>
      <c r="M578" s="4">
        <f t="shared" si="446"/>
        <v>0</v>
      </c>
      <c r="N578" s="4">
        <f t="shared" si="447"/>
        <v>0</v>
      </c>
      <c r="O578" s="5">
        <f t="shared" si="448"/>
        <v>36</v>
      </c>
      <c r="P578" s="6" t="str">
        <f t="shared" si="449"/>
        <v>31 TO 45 Days</v>
      </c>
      <c r="Q578" s="7">
        <v>42855</v>
      </c>
      <c r="R578" s="6" t="s">
        <v>2178</v>
      </c>
      <c r="Y578" s="1" t="str">
        <f>"4750388670"</f>
        <v>4750388670</v>
      </c>
    </row>
    <row r="579" spans="1:25" x14ac:dyDescent="0.2">
      <c r="A579" s="9" t="s">
        <v>1307</v>
      </c>
      <c r="B579" s="10">
        <v>42819</v>
      </c>
      <c r="C579" s="9" t="s">
        <v>1308</v>
      </c>
      <c r="D579" s="9" t="s">
        <v>148</v>
      </c>
      <c r="E579" s="9" t="s">
        <v>2190</v>
      </c>
      <c r="F579" s="9">
        <v>500000</v>
      </c>
      <c r="G579" s="8">
        <v>7189</v>
      </c>
      <c r="H579" s="4">
        <f t="shared" si="441"/>
        <v>0</v>
      </c>
      <c r="I579" s="4">
        <f t="shared" si="442"/>
        <v>7189</v>
      </c>
      <c r="J579" s="4">
        <f t="shared" si="443"/>
        <v>0</v>
      </c>
      <c r="K579" s="4">
        <f t="shared" si="444"/>
        <v>0</v>
      </c>
      <c r="L579" s="4">
        <f t="shared" si="445"/>
        <v>0</v>
      </c>
      <c r="M579" s="4">
        <f t="shared" si="446"/>
        <v>0</v>
      </c>
      <c r="N579" s="4">
        <f t="shared" si="447"/>
        <v>0</v>
      </c>
      <c r="O579" s="5">
        <f t="shared" si="448"/>
        <v>36</v>
      </c>
      <c r="P579" s="6" t="str">
        <f t="shared" si="449"/>
        <v>31 TO 45 Days</v>
      </c>
      <c r="Q579" s="7">
        <v>42855</v>
      </c>
      <c r="R579" s="6" t="s">
        <v>2178</v>
      </c>
      <c r="Y579" s="1" t="str">
        <f>"4750388287"</f>
        <v>4750388287</v>
      </c>
    </row>
    <row r="580" spans="1:25" x14ac:dyDescent="0.2">
      <c r="A580" s="9" t="s">
        <v>1309</v>
      </c>
      <c r="B580" s="10">
        <v>42819</v>
      </c>
      <c r="C580" s="9" t="s">
        <v>1310</v>
      </c>
      <c r="D580" s="9" t="s">
        <v>148</v>
      </c>
      <c r="E580" s="9" t="s">
        <v>2190</v>
      </c>
      <c r="F580" s="9">
        <v>500000</v>
      </c>
      <c r="G580" s="8">
        <v>7189</v>
      </c>
      <c r="H580" s="4">
        <f t="shared" si="441"/>
        <v>0</v>
      </c>
      <c r="I580" s="4">
        <f t="shared" si="442"/>
        <v>7189</v>
      </c>
      <c r="J580" s="4">
        <f t="shared" si="443"/>
        <v>0</v>
      </c>
      <c r="K580" s="4">
        <f t="shared" si="444"/>
        <v>0</v>
      </c>
      <c r="L580" s="4">
        <f t="shared" si="445"/>
        <v>0</v>
      </c>
      <c r="M580" s="4">
        <f t="shared" si="446"/>
        <v>0</v>
      </c>
      <c r="N580" s="4">
        <f t="shared" si="447"/>
        <v>0</v>
      </c>
      <c r="O580" s="5">
        <f t="shared" si="448"/>
        <v>36</v>
      </c>
      <c r="P580" s="6" t="str">
        <f t="shared" si="449"/>
        <v>31 TO 45 Days</v>
      </c>
      <c r="Q580" s="7">
        <v>42855</v>
      </c>
      <c r="R580" s="6" t="s">
        <v>2178</v>
      </c>
      <c r="Y580" s="1" t="str">
        <f>"4750388671"</f>
        <v>4750388671</v>
      </c>
    </row>
    <row r="581" spans="1:25" x14ac:dyDescent="0.2">
      <c r="A581" s="9" t="s">
        <v>2035</v>
      </c>
      <c r="B581" s="10">
        <v>42837</v>
      </c>
      <c r="C581" s="9" t="s">
        <v>2036</v>
      </c>
      <c r="D581" s="9" t="s">
        <v>2034</v>
      </c>
      <c r="E581" s="9" t="s">
        <v>2190</v>
      </c>
      <c r="F581" s="9">
        <v>0</v>
      </c>
      <c r="G581" s="8">
        <v>7190</v>
      </c>
      <c r="H581" s="4">
        <f t="shared" ref="H581:H618" si="450">IF(O581&lt;=30,G581,0)</f>
        <v>7190</v>
      </c>
      <c r="I581" s="4">
        <f t="shared" ref="I581:I618" si="451">IF(AND(O581&gt;30,O581&lt;=45),G581,0)</f>
        <v>0</v>
      </c>
      <c r="J581" s="4">
        <f t="shared" ref="J581:J618" si="452">IF(AND(O581&gt;45,O581&lt;=60),G581,0)</f>
        <v>0</v>
      </c>
      <c r="K581" s="4">
        <f t="shared" ref="K581:K618" si="453">IF(AND(O581&gt;60,O581&lt;=90),G581,0)</f>
        <v>0</v>
      </c>
      <c r="L581" s="4">
        <f t="shared" ref="L581:L618" si="454">IF(AND(O581&gt;90,O581&lt;=120),G581,0)</f>
        <v>0</v>
      </c>
      <c r="M581" s="4">
        <f t="shared" ref="M581:M618" si="455">IF(O581&gt;120,G581,0)</f>
        <v>0</v>
      </c>
      <c r="N581" s="4">
        <f t="shared" ref="N581:N618" si="456">IF(O581&gt;60,G581,0)</f>
        <v>0</v>
      </c>
      <c r="O581" s="5">
        <f t="shared" ref="O581:O618" si="457">Q581-B581</f>
        <v>18</v>
      </c>
      <c r="P581" s="6" t="str">
        <f t="shared" ref="P581:P618" si="458">IF(AND(O581&lt;=30),"30 Days",IF(AND(O581&gt;30,O581&lt;=45),"31 TO 45 Days",IF(AND(O581&gt;45,O581&lt;=60),"46 To 60 Days",IF(AND(O581&gt;60,O581&lt;=90),"61 To 90 Days",IF(AND(O581&gt;90,O581&lt;=120),"91 To 120 Days",IF(AND(O581&gt;120),"Plus120Days",))))))</f>
        <v>30 Days</v>
      </c>
      <c r="Q581" s="7">
        <v>42855</v>
      </c>
      <c r="R581" s="6" t="str">
        <f>VLOOKUP(A581:A5007,[1]BOM_INV_OPERATOR_DETAILS_OUTPUT!$A$2:$D$1233,4,FALSE)</f>
        <v>AI</v>
      </c>
      <c r="Y581" s="1" t="str">
        <f>"4395876577"</f>
        <v>4395876577</v>
      </c>
    </row>
    <row r="582" spans="1:25" x14ac:dyDescent="0.2">
      <c r="A582" s="9" t="s">
        <v>1738</v>
      </c>
      <c r="B582" s="10">
        <v>42831</v>
      </c>
      <c r="C582" s="9" t="s">
        <v>1739</v>
      </c>
      <c r="D582" s="9" t="s">
        <v>1737</v>
      </c>
      <c r="E582" s="9" t="s">
        <v>2190</v>
      </c>
      <c r="F582" s="9">
        <v>0</v>
      </c>
      <c r="G582" s="8">
        <v>7192</v>
      </c>
      <c r="H582" s="4">
        <f t="shared" si="450"/>
        <v>7192</v>
      </c>
      <c r="I582" s="4">
        <f t="shared" si="451"/>
        <v>0</v>
      </c>
      <c r="J582" s="4">
        <f t="shared" si="452"/>
        <v>0</v>
      </c>
      <c r="K582" s="4">
        <f t="shared" si="453"/>
        <v>0</v>
      </c>
      <c r="L582" s="4">
        <f t="shared" si="454"/>
        <v>0</v>
      </c>
      <c r="M582" s="4">
        <f t="shared" si="455"/>
        <v>0</v>
      </c>
      <c r="N582" s="4">
        <f t="shared" si="456"/>
        <v>0</v>
      </c>
      <c r="O582" s="5">
        <f t="shared" si="457"/>
        <v>24</v>
      </c>
      <c r="P582" s="6" t="str">
        <f t="shared" si="458"/>
        <v>30 Days</v>
      </c>
      <c r="Q582" s="7">
        <v>42855</v>
      </c>
      <c r="R582" s="6" t="s">
        <v>2178</v>
      </c>
      <c r="Y582" s="1" t="str">
        <f>"417470427"</f>
        <v>417470427</v>
      </c>
    </row>
    <row r="583" spans="1:25" x14ac:dyDescent="0.2">
      <c r="A583" s="9" t="s">
        <v>2007</v>
      </c>
      <c r="B583" s="10">
        <v>42836</v>
      </c>
      <c r="C583" s="9" t="s">
        <v>2008</v>
      </c>
      <c r="D583" s="9" t="s">
        <v>2006</v>
      </c>
      <c r="E583" s="9" t="s">
        <v>2190</v>
      </c>
      <c r="F583" s="9">
        <v>0</v>
      </c>
      <c r="G583" s="8">
        <v>7192</v>
      </c>
      <c r="H583" s="4">
        <f t="shared" si="450"/>
        <v>7192</v>
      </c>
      <c r="I583" s="4">
        <f t="shared" si="451"/>
        <v>0</v>
      </c>
      <c r="J583" s="4">
        <f t="shared" si="452"/>
        <v>0</v>
      </c>
      <c r="K583" s="4">
        <f t="shared" si="453"/>
        <v>0</v>
      </c>
      <c r="L583" s="4">
        <f t="shared" si="454"/>
        <v>0</v>
      </c>
      <c r="M583" s="4">
        <f t="shared" si="455"/>
        <v>0</v>
      </c>
      <c r="N583" s="4">
        <f t="shared" si="456"/>
        <v>0</v>
      </c>
      <c r="O583" s="5">
        <f t="shared" si="457"/>
        <v>19</v>
      </c>
      <c r="P583" s="6" t="str">
        <f t="shared" si="458"/>
        <v>30 Days</v>
      </c>
      <c r="Q583" s="7">
        <v>42855</v>
      </c>
      <c r="R583" s="6" t="str">
        <f>VLOOKUP(A583:A5009,[1]BOM_INV_OPERATOR_DETAILS_OUTPUT!$A$2:$D$1233,4,FALSE)</f>
        <v>AI</v>
      </c>
      <c r="Y583" s="1" t="str">
        <f>"4052203993"</f>
        <v>4052203993</v>
      </c>
    </row>
    <row r="584" spans="1:25" x14ac:dyDescent="0.2">
      <c r="A584" s="9" t="s">
        <v>1666</v>
      </c>
      <c r="B584" s="10">
        <v>42828</v>
      </c>
      <c r="C584" s="9" t="s">
        <v>1667</v>
      </c>
      <c r="D584" s="9" t="s">
        <v>20</v>
      </c>
      <c r="E584" s="9" t="s">
        <v>2190</v>
      </c>
      <c r="F584" s="9">
        <v>1000000</v>
      </c>
      <c r="G584" s="8">
        <v>7199</v>
      </c>
      <c r="H584" s="4">
        <f t="shared" si="450"/>
        <v>7199</v>
      </c>
      <c r="I584" s="4">
        <f t="shared" si="451"/>
        <v>0</v>
      </c>
      <c r="J584" s="4">
        <f t="shared" si="452"/>
        <v>0</v>
      </c>
      <c r="K584" s="4">
        <f t="shared" si="453"/>
        <v>0</v>
      </c>
      <c r="L584" s="4">
        <f t="shared" si="454"/>
        <v>0</v>
      </c>
      <c r="M584" s="4">
        <f t="shared" si="455"/>
        <v>0</v>
      </c>
      <c r="N584" s="4">
        <f t="shared" si="456"/>
        <v>0</v>
      </c>
      <c r="O584" s="5">
        <f t="shared" si="457"/>
        <v>27</v>
      </c>
      <c r="P584" s="6" t="str">
        <f t="shared" si="458"/>
        <v>30 Days</v>
      </c>
      <c r="Q584" s="7">
        <v>42855</v>
      </c>
      <c r="R584" s="6" t="s">
        <v>2178</v>
      </c>
      <c r="V584" s="1" t="s">
        <v>13</v>
      </c>
      <c r="W584" s="2">
        <v>42828</v>
      </c>
      <c r="X584" s="1" t="s">
        <v>14</v>
      </c>
      <c r="Y584" s="1" t="str">
        <f>"4570270984"</f>
        <v>4570270984</v>
      </c>
    </row>
    <row r="585" spans="1:25" x14ac:dyDescent="0.2">
      <c r="A585" s="9" t="s">
        <v>973</v>
      </c>
      <c r="B585" s="10">
        <v>42804</v>
      </c>
      <c r="C585" s="9" t="s">
        <v>974</v>
      </c>
      <c r="D585" s="9" t="s">
        <v>30</v>
      </c>
      <c r="E585" s="9" t="s">
        <v>2190</v>
      </c>
      <c r="F585" s="9">
        <v>700000</v>
      </c>
      <c r="G585" s="8">
        <v>7213</v>
      </c>
      <c r="H585" s="4">
        <f t="shared" si="450"/>
        <v>0</v>
      </c>
      <c r="I585" s="4">
        <f t="shared" si="451"/>
        <v>0</v>
      </c>
      <c r="J585" s="4">
        <f t="shared" si="452"/>
        <v>7213</v>
      </c>
      <c r="K585" s="4">
        <f t="shared" si="453"/>
        <v>0</v>
      </c>
      <c r="L585" s="4">
        <f t="shared" si="454"/>
        <v>0</v>
      </c>
      <c r="M585" s="4">
        <f t="shared" si="455"/>
        <v>0</v>
      </c>
      <c r="N585" s="4">
        <f t="shared" si="456"/>
        <v>0</v>
      </c>
      <c r="O585" s="5">
        <f t="shared" si="457"/>
        <v>51</v>
      </c>
      <c r="P585" s="6" t="str">
        <f t="shared" si="458"/>
        <v>46 To 60 Days</v>
      </c>
      <c r="Q585" s="7">
        <v>42855</v>
      </c>
      <c r="R585" s="6" t="s">
        <v>2178</v>
      </c>
      <c r="Y585" s="1" t="str">
        <f>"4600157710"</f>
        <v>4600157710</v>
      </c>
    </row>
    <row r="586" spans="1:25" x14ac:dyDescent="0.2">
      <c r="A586" s="9" t="s">
        <v>1888</v>
      </c>
      <c r="B586" s="10">
        <v>42835</v>
      </c>
      <c r="C586" s="9" t="s">
        <v>1889</v>
      </c>
      <c r="D586" s="9" t="s">
        <v>35</v>
      </c>
      <c r="E586" s="9" t="s">
        <v>2190</v>
      </c>
      <c r="F586" s="9">
        <v>0</v>
      </c>
      <c r="G586" s="8">
        <v>7216</v>
      </c>
      <c r="H586" s="4">
        <f t="shared" si="450"/>
        <v>7216</v>
      </c>
      <c r="I586" s="4">
        <f t="shared" si="451"/>
        <v>0</v>
      </c>
      <c r="J586" s="4">
        <f t="shared" si="452"/>
        <v>0</v>
      </c>
      <c r="K586" s="4">
        <f t="shared" si="453"/>
        <v>0</v>
      </c>
      <c r="L586" s="4">
        <f t="shared" si="454"/>
        <v>0</v>
      </c>
      <c r="M586" s="4">
        <f t="shared" si="455"/>
        <v>0</v>
      </c>
      <c r="N586" s="4">
        <f t="shared" si="456"/>
        <v>0</v>
      </c>
      <c r="O586" s="5">
        <f t="shared" si="457"/>
        <v>20</v>
      </c>
      <c r="P586" s="6" t="str">
        <f t="shared" si="458"/>
        <v>30 Days</v>
      </c>
      <c r="Q586" s="7">
        <v>42855</v>
      </c>
      <c r="R586" s="6" t="str">
        <f>VLOOKUP(A586:A5013,[1]BOM_INV_OPERATOR_DETAILS_OUTPUT!$A$2:$D$1233,4,FALSE)</f>
        <v>AI</v>
      </c>
      <c r="Y586" s="1" t="str">
        <f>"415821986"</f>
        <v>415821986</v>
      </c>
    </row>
    <row r="587" spans="1:25" x14ac:dyDescent="0.2">
      <c r="A587" s="9" t="s">
        <v>506</v>
      </c>
      <c r="B587" s="10">
        <v>42774</v>
      </c>
      <c r="C587" s="9" t="s">
        <v>507</v>
      </c>
      <c r="D587" s="9" t="s">
        <v>148</v>
      </c>
      <c r="E587" s="9" t="s">
        <v>2190</v>
      </c>
      <c r="F587" s="9">
        <v>500000</v>
      </c>
      <c r="G587" s="8">
        <v>7229</v>
      </c>
      <c r="H587" s="4">
        <f t="shared" si="450"/>
        <v>0</v>
      </c>
      <c r="I587" s="4">
        <f t="shared" si="451"/>
        <v>0</v>
      </c>
      <c r="J587" s="4">
        <f t="shared" si="452"/>
        <v>0</v>
      </c>
      <c r="K587" s="4">
        <f t="shared" si="453"/>
        <v>7229</v>
      </c>
      <c r="L587" s="4">
        <f t="shared" si="454"/>
        <v>0</v>
      </c>
      <c r="M587" s="4">
        <f t="shared" si="455"/>
        <v>0</v>
      </c>
      <c r="N587" s="4">
        <f t="shared" si="456"/>
        <v>7229</v>
      </c>
      <c r="O587" s="5">
        <f t="shared" si="457"/>
        <v>81</v>
      </c>
      <c r="P587" s="6" t="str">
        <f t="shared" si="458"/>
        <v>61 To 90 Days</v>
      </c>
      <c r="Q587" s="7">
        <v>42855</v>
      </c>
      <c r="R587" s="6" t="s">
        <v>2178</v>
      </c>
      <c r="Y587" s="1" t="str">
        <f>"4750385687"</f>
        <v>4750385687</v>
      </c>
    </row>
    <row r="588" spans="1:25" x14ac:dyDescent="0.2">
      <c r="A588" s="9" t="s">
        <v>717</v>
      </c>
      <c r="B588" s="10">
        <v>42791</v>
      </c>
      <c r="C588" s="9" t="s">
        <v>718</v>
      </c>
      <c r="D588" s="9" t="s">
        <v>30</v>
      </c>
      <c r="E588" s="9" t="s">
        <v>2190</v>
      </c>
      <c r="F588" s="9">
        <v>700000</v>
      </c>
      <c r="G588" s="8">
        <v>7238</v>
      </c>
      <c r="H588" s="4">
        <f t="shared" si="450"/>
        <v>0</v>
      </c>
      <c r="I588" s="4">
        <f t="shared" si="451"/>
        <v>0</v>
      </c>
      <c r="J588" s="4">
        <f t="shared" si="452"/>
        <v>0</v>
      </c>
      <c r="K588" s="4">
        <f t="shared" si="453"/>
        <v>7238</v>
      </c>
      <c r="L588" s="4">
        <f t="shared" si="454"/>
        <v>0</v>
      </c>
      <c r="M588" s="4">
        <f t="shared" si="455"/>
        <v>0</v>
      </c>
      <c r="N588" s="4">
        <f t="shared" si="456"/>
        <v>7238</v>
      </c>
      <c r="O588" s="5">
        <f t="shared" si="457"/>
        <v>64</v>
      </c>
      <c r="P588" s="6" t="str">
        <f t="shared" si="458"/>
        <v>61 To 90 Days</v>
      </c>
      <c r="Q588" s="7">
        <v>42855</v>
      </c>
      <c r="R588" s="6" t="s">
        <v>2178</v>
      </c>
      <c r="Y588" s="1" t="str">
        <f>"4600157248"</f>
        <v>4600157248</v>
      </c>
    </row>
    <row r="589" spans="1:25" x14ac:dyDescent="0.2">
      <c r="A589" s="9" t="s">
        <v>2110</v>
      </c>
      <c r="B589" s="10">
        <v>42838</v>
      </c>
      <c r="C589" s="9" t="s">
        <v>2111</v>
      </c>
      <c r="D589" s="9" t="s">
        <v>2099</v>
      </c>
      <c r="E589" s="9" t="s">
        <v>2190</v>
      </c>
      <c r="F589" s="9">
        <v>0</v>
      </c>
      <c r="G589" s="8">
        <v>7240</v>
      </c>
      <c r="H589" s="4">
        <f t="shared" si="450"/>
        <v>7240</v>
      </c>
      <c r="I589" s="4">
        <f t="shared" si="451"/>
        <v>0</v>
      </c>
      <c r="J589" s="4">
        <f t="shared" si="452"/>
        <v>0</v>
      </c>
      <c r="K589" s="4">
        <f t="shared" si="453"/>
        <v>0</v>
      </c>
      <c r="L589" s="4">
        <f t="shared" si="454"/>
        <v>0</v>
      </c>
      <c r="M589" s="4">
        <f t="shared" si="455"/>
        <v>0</v>
      </c>
      <c r="N589" s="4">
        <f t="shared" si="456"/>
        <v>0</v>
      </c>
      <c r="O589" s="5">
        <f t="shared" si="457"/>
        <v>17</v>
      </c>
      <c r="P589" s="6" t="str">
        <f t="shared" si="458"/>
        <v>30 Days</v>
      </c>
      <c r="Q589" s="7">
        <v>42855</v>
      </c>
      <c r="R589" s="6" t="str">
        <f>VLOOKUP(A589:A5018,[1]BOM_INV_OPERATOR_DETAILS_OUTPUT!$A$2:$D$1233,4,FALSE)</f>
        <v>AI</v>
      </c>
      <c r="Y589" s="1" t="str">
        <f>"4912922609"</f>
        <v>4912922609</v>
      </c>
    </row>
    <row r="590" spans="1:25" x14ac:dyDescent="0.2">
      <c r="A590" s="9" t="s">
        <v>420</v>
      </c>
      <c r="B590" s="10">
        <v>42765</v>
      </c>
      <c r="C590" s="9" t="s">
        <v>421</v>
      </c>
      <c r="D590" s="9" t="s">
        <v>161</v>
      </c>
      <c r="E590" s="9" t="s">
        <v>2190</v>
      </c>
      <c r="F590" s="9">
        <v>0</v>
      </c>
      <c r="G590" s="8">
        <v>7243</v>
      </c>
      <c r="H590" s="4">
        <f t="shared" si="450"/>
        <v>0</v>
      </c>
      <c r="I590" s="4">
        <f t="shared" si="451"/>
        <v>0</v>
      </c>
      <c r="J590" s="4">
        <f t="shared" si="452"/>
        <v>0</v>
      </c>
      <c r="K590" s="4">
        <f t="shared" si="453"/>
        <v>7243</v>
      </c>
      <c r="L590" s="4">
        <f t="shared" si="454"/>
        <v>0</v>
      </c>
      <c r="M590" s="4">
        <f t="shared" si="455"/>
        <v>0</v>
      </c>
      <c r="N590" s="4">
        <f t="shared" si="456"/>
        <v>7243</v>
      </c>
      <c r="O590" s="5">
        <f t="shared" si="457"/>
        <v>90</v>
      </c>
      <c r="P590" s="6" t="str">
        <f t="shared" si="458"/>
        <v>61 To 90 Days</v>
      </c>
      <c r="Q590" s="7">
        <v>42855</v>
      </c>
      <c r="R590" s="6" t="s">
        <v>2178</v>
      </c>
      <c r="Y590" s="1" t="str">
        <f>"4711225213"</f>
        <v>4711225213</v>
      </c>
    </row>
    <row r="591" spans="1:25" x14ac:dyDescent="0.2">
      <c r="A591" s="9" t="s">
        <v>1539</v>
      </c>
      <c r="B591" s="10">
        <v>42825</v>
      </c>
      <c r="C591" s="9" t="s">
        <v>1540</v>
      </c>
      <c r="D591" s="9" t="s">
        <v>270</v>
      </c>
      <c r="E591" s="9" t="s">
        <v>2190</v>
      </c>
      <c r="F591" s="9">
        <v>0</v>
      </c>
      <c r="G591" s="8">
        <v>7261</v>
      </c>
      <c r="H591" s="4">
        <f t="shared" si="450"/>
        <v>7261</v>
      </c>
      <c r="I591" s="4">
        <f t="shared" si="451"/>
        <v>0</v>
      </c>
      <c r="J591" s="4">
        <f t="shared" si="452"/>
        <v>0</v>
      </c>
      <c r="K591" s="4">
        <f t="shared" si="453"/>
        <v>0</v>
      </c>
      <c r="L591" s="4">
        <f t="shared" si="454"/>
        <v>0</v>
      </c>
      <c r="M591" s="4">
        <f t="shared" si="455"/>
        <v>0</v>
      </c>
      <c r="N591" s="4">
        <f t="shared" si="456"/>
        <v>0</v>
      </c>
      <c r="O591" s="5">
        <f t="shared" si="457"/>
        <v>30</v>
      </c>
      <c r="P591" s="6" t="str">
        <f t="shared" si="458"/>
        <v>30 Days</v>
      </c>
      <c r="Q591" s="7">
        <v>42855</v>
      </c>
      <c r="R591" s="6" t="s">
        <v>2178</v>
      </c>
      <c r="Y591" s="1" t="str">
        <f>"416564555"</f>
        <v>416564555</v>
      </c>
    </row>
    <row r="592" spans="1:25" x14ac:dyDescent="0.2">
      <c r="A592" s="9" t="s">
        <v>1950</v>
      </c>
      <c r="B592" s="10">
        <v>42835</v>
      </c>
      <c r="C592" s="9" t="s">
        <v>1951</v>
      </c>
      <c r="D592" s="9" t="s">
        <v>270</v>
      </c>
      <c r="E592" s="9" t="s">
        <v>2190</v>
      </c>
      <c r="F592" s="9">
        <v>0</v>
      </c>
      <c r="G592" s="8">
        <v>7261</v>
      </c>
      <c r="H592" s="4">
        <f t="shared" si="450"/>
        <v>7261</v>
      </c>
      <c r="I592" s="4">
        <f t="shared" si="451"/>
        <v>0</v>
      </c>
      <c r="J592" s="4">
        <f t="shared" si="452"/>
        <v>0</v>
      </c>
      <c r="K592" s="4">
        <f t="shared" si="453"/>
        <v>0</v>
      </c>
      <c r="L592" s="4">
        <f t="shared" si="454"/>
        <v>0</v>
      </c>
      <c r="M592" s="4">
        <f t="shared" si="455"/>
        <v>0</v>
      </c>
      <c r="N592" s="4">
        <f t="shared" si="456"/>
        <v>0</v>
      </c>
      <c r="O592" s="5">
        <f t="shared" si="457"/>
        <v>20</v>
      </c>
      <c r="P592" s="6" t="str">
        <f t="shared" si="458"/>
        <v>30 Days</v>
      </c>
      <c r="Q592" s="7">
        <v>42855</v>
      </c>
      <c r="R592" s="6" t="str">
        <f>VLOOKUP(A592:A5025,[1]BOM_INV_OPERATOR_DETAILS_OUTPUT!$A$2:$D$1233,4,FALSE)</f>
        <v>AI</v>
      </c>
      <c r="Y592" s="1" t="str">
        <f>"416564691"</f>
        <v>416564691</v>
      </c>
    </row>
    <row r="593" spans="1:25" x14ac:dyDescent="0.2">
      <c r="A593" s="9" t="s">
        <v>428</v>
      </c>
      <c r="B593" s="10">
        <v>42765</v>
      </c>
      <c r="C593" s="9" t="s">
        <v>429</v>
      </c>
      <c r="D593" s="9" t="s">
        <v>133</v>
      </c>
      <c r="E593" s="9" t="s">
        <v>2190</v>
      </c>
      <c r="F593" s="9">
        <v>20000000</v>
      </c>
      <c r="G593" s="8">
        <v>7266</v>
      </c>
      <c r="H593" s="4">
        <f t="shared" si="450"/>
        <v>0</v>
      </c>
      <c r="I593" s="4">
        <f t="shared" si="451"/>
        <v>0</v>
      </c>
      <c r="J593" s="4">
        <f t="shared" si="452"/>
        <v>0</v>
      </c>
      <c r="K593" s="4">
        <f t="shared" si="453"/>
        <v>7266</v>
      </c>
      <c r="L593" s="4">
        <f t="shared" si="454"/>
        <v>0</v>
      </c>
      <c r="M593" s="4">
        <f t="shared" si="455"/>
        <v>0</v>
      </c>
      <c r="N593" s="4">
        <f t="shared" si="456"/>
        <v>7266</v>
      </c>
      <c r="O593" s="5">
        <f t="shared" si="457"/>
        <v>90</v>
      </c>
      <c r="P593" s="6" t="str">
        <f t="shared" si="458"/>
        <v>61 To 90 Days</v>
      </c>
      <c r="Q593" s="7">
        <v>42855</v>
      </c>
      <c r="R593" s="6" t="s">
        <v>2178</v>
      </c>
      <c r="V593" s="1" t="s">
        <v>13</v>
      </c>
      <c r="W593" s="2">
        <v>42765</v>
      </c>
      <c r="X593" s="1" t="s">
        <v>14</v>
      </c>
      <c r="Y593" s="1" t="str">
        <f>"4210170958"</f>
        <v>4210170958</v>
      </c>
    </row>
    <row r="594" spans="1:25" x14ac:dyDescent="0.2">
      <c r="A594" s="9" t="s">
        <v>1886</v>
      </c>
      <c r="B594" s="10">
        <v>42835</v>
      </c>
      <c r="C594" s="9" t="s">
        <v>1887</v>
      </c>
      <c r="D594" s="9" t="s">
        <v>144</v>
      </c>
      <c r="E594" s="9" t="s">
        <v>2190</v>
      </c>
      <c r="F594" s="9">
        <v>2300000</v>
      </c>
      <c r="G594" s="8">
        <v>7267</v>
      </c>
      <c r="H594" s="4">
        <f t="shared" si="450"/>
        <v>7267</v>
      </c>
      <c r="I594" s="4">
        <f t="shared" si="451"/>
        <v>0</v>
      </c>
      <c r="J594" s="4">
        <f t="shared" si="452"/>
        <v>0</v>
      </c>
      <c r="K594" s="4">
        <f t="shared" si="453"/>
        <v>0</v>
      </c>
      <c r="L594" s="4">
        <f t="shared" si="454"/>
        <v>0</v>
      </c>
      <c r="M594" s="4">
        <f t="shared" si="455"/>
        <v>0</v>
      </c>
      <c r="N594" s="4">
        <f t="shared" si="456"/>
        <v>0</v>
      </c>
      <c r="O594" s="5">
        <f t="shared" si="457"/>
        <v>20</v>
      </c>
      <c r="P594" s="6" t="str">
        <f t="shared" si="458"/>
        <v>30 Days</v>
      </c>
      <c r="Q594" s="7">
        <v>42855</v>
      </c>
      <c r="R594" s="6" t="str">
        <f>VLOOKUP(A594:A5027,[1]BOM_INV_OPERATOR_DETAILS_OUTPUT!$A$2:$D$1233,4,FALSE)</f>
        <v>AI</v>
      </c>
      <c r="Y594" s="1" t="str">
        <f>"4912911499"</f>
        <v>4912911499</v>
      </c>
    </row>
    <row r="595" spans="1:25" x14ac:dyDescent="0.2">
      <c r="A595" s="9" t="s">
        <v>1937</v>
      </c>
      <c r="B595" s="10">
        <v>42835</v>
      </c>
      <c r="C595" s="9" t="s">
        <v>1938</v>
      </c>
      <c r="D595" s="9" t="s">
        <v>666</v>
      </c>
      <c r="E595" s="9" t="s">
        <v>2190</v>
      </c>
      <c r="F595" s="9">
        <v>3377500</v>
      </c>
      <c r="G595" s="8">
        <v>7275</v>
      </c>
      <c r="H595" s="4">
        <f t="shared" si="450"/>
        <v>7275</v>
      </c>
      <c r="I595" s="4">
        <f t="shared" si="451"/>
        <v>0</v>
      </c>
      <c r="J595" s="4">
        <f t="shared" si="452"/>
        <v>0</v>
      </c>
      <c r="K595" s="4">
        <f t="shared" si="453"/>
        <v>0</v>
      </c>
      <c r="L595" s="4">
        <f t="shared" si="454"/>
        <v>0</v>
      </c>
      <c r="M595" s="4">
        <f t="shared" si="455"/>
        <v>0</v>
      </c>
      <c r="N595" s="4">
        <f t="shared" si="456"/>
        <v>0</v>
      </c>
      <c r="O595" s="5">
        <f t="shared" si="457"/>
        <v>20</v>
      </c>
      <c r="P595" s="6" t="str">
        <f t="shared" si="458"/>
        <v>30 Days</v>
      </c>
      <c r="Q595" s="7">
        <v>42855</v>
      </c>
      <c r="R595" s="6" t="str">
        <f>VLOOKUP(A595:A5030,[1]BOM_INV_OPERATOR_DETAILS_OUTPUT!$A$2:$D$1233,4,FALSE)</f>
        <v>AI</v>
      </c>
      <c r="S595" s="1">
        <v>110.96</v>
      </c>
      <c r="T595" s="1" t="s">
        <v>31</v>
      </c>
      <c r="V595" s="1" t="s">
        <v>13</v>
      </c>
      <c r="W595" s="2">
        <v>42835</v>
      </c>
      <c r="X595" s="1" t="s">
        <v>14</v>
      </c>
      <c r="Y595" s="1" t="s">
        <v>1939</v>
      </c>
    </row>
    <row r="596" spans="1:25" x14ac:dyDescent="0.2">
      <c r="A596" s="9" t="s">
        <v>1940</v>
      </c>
      <c r="B596" s="10">
        <v>42835</v>
      </c>
      <c r="C596" s="9" t="s">
        <v>1941</v>
      </c>
      <c r="D596" s="9" t="s">
        <v>666</v>
      </c>
      <c r="E596" s="9" t="s">
        <v>2190</v>
      </c>
      <c r="F596" s="9">
        <v>3377500</v>
      </c>
      <c r="G596" s="8">
        <v>7275</v>
      </c>
      <c r="H596" s="4">
        <f t="shared" si="450"/>
        <v>7275</v>
      </c>
      <c r="I596" s="4">
        <f t="shared" si="451"/>
        <v>0</v>
      </c>
      <c r="J596" s="4">
        <f t="shared" si="452"/>
        <v>0</v>
      </c>
      <c r="K596" s="4">
        <f t="shared" si="453"/>
        <v>0</v>
      </c>
      <c r="L596" s="4">
        <f t="shared" si="454"/>
        <v>0</v>
      </c>
      <c r="M596" s="4">
        <f t="shared" si="455"/>
        <v>0</v>
      </c>
      <c r="N596" s="4">
        <f t="shared" si="456"/>
        <v>0</v>
      </c>
      <c r="O596" s="5">
        <f t="shared" si="457"/>
        <v>20</v>
      </c>
      <c r="P596" s="6" t="str">
        <f t="shared" si="458"/>
        <v>30 Days</v>
      </c>
      <c r="Q596" s="7">
        <v>42855</v>
      </c>
      <c r="R596" s="6" t="str">
        <f>VLOOKUP(A596:A5031,[1]BOM_INV_OPERATOR_DETAILS_OUTPUT!$A$2:$D$1233,4,FALSE)</f>
        <v>AI</v>
      </c>
      <c r="S596" s="1">
        <v>110.98</v>
      </c>
      <c r="T596" s="1" t="s">
        <v>31</v>
      </c>
      <c r="V596" s="1" t="s">
        <v>13</v>
      </c>
      <c r="W596" s="2">
        <v>42835</v>
      </c>
      <c r="X596" s="1" t="s">
        <v>14</v>
      </c>
      <c r="Y596" s="1" t="s">
        <v>1942</v>
      </c>
    </row>
    <row r="597" spans="1:25" x14ac:dyDescent="0.2">
      <c r="A597" s="9" t="s">
        <v>292</v>
      </c>
      <c r="B597" s="10">
        <v>42745</v>
      </c>
      <c r="C597" s="9" t="s">
        <v>293</v>
      </c>
      <c r="D597" s="9" t="s">
        <v>148</v>
      </c>
      <c r="E597" s="9" t="s">
        <v>2190</v>
      </c>
      <c r="F597" s="9">
        <v>500000</v>
      </c>
      <c r="G597" s="8">
        <v>7278</v>
      </c>
      <c r="H597" s="4">
        <f t="shared" si="450"/>
        <v>0</v>
      </c>
      <c r="I597" s="4">
        <f t="shared" si="451"/>
        <v>0</v>
      </c>
      <c r="J597" s="4">
        <f t="shared" si="452"/>
        <v>0</v>
      </c>
      <c r="K597" s="4">
        <f t="shared" si="453"/>
        <v>0</v>
      </c>
      <c r="L597" s="4">
        <f t="shared" si="454"/>
        <v>7278</v>
      </c>
      <c r="M597" s="4">
        <f t="shared" si="455"/>
        <v>0</v>
      </c>
      <c r="N597" s="4">
        <f t="shared" si="456"/>
        <v>7278</v>
      </c>
      <c r="O597" s="5">
        <f t="shared" si="457"/>
        <v>110</v>
      </c>
      <c r="P597" s="6" t="str">
        <f t="shared" si="458"/>
        <v>91 To 120 Days</v>
      </c>
      <c r="Q597" s="7">
        <v>42855</v>
      </c>
      <c r="R597" s="6" t="s">
        <v>2178</v>
      </c>
      <c r="Y597" s="1" t="str">
        <f>"4540129241"</f>
        <v>4540129241</v>
      </c>
    </row>
    <row r="598" spans="1:25" x14ac:dyDescent="0.2">
      <c r="A598" s="9" t="s">
        <v>2086</v>
      </c>
      <c r="B598" s="10">
        <v>42838</v>
      </c>
      <c r="C598" s="9" t="s">
        <v>2087</v>
      </c>
      <c r="D598" s="9" t="s">
        <v>666</v>
      </c>
      <c r="E598" s="9" t="s">
        <v>2190</v>
      </c>
      <c r="F598" s="9">
        <v>3377500</v>
      </c>
      <c r="G598" s="8">
        <v>7281</v>
      </c>
      <c r="H598" s="4">
        <f t="shared" si="450"/>
        <v>7281</v>
      </c>
      <c r="I598" s="4">
        <f t="shared" si="451"/>
        <v>0</v>
      </c>
      <c r="J598" s="4">
        <f t="shared" si="452"/>
        <v>0</v>
      </c>
      <c r="K598" s="4">
        <f t="shared" si="453"/>
        <v>0</v>
      </c>
      <c r="L598" s="4">
        <f t="shared" si="454"/>
        <v>0</v>
      </c>
      <c r="M598" s="4">
        <f t="shared" si="455"/>
        <v>0</v>
      </c>
      <c r="N598" s="4">
        <f t="shared" si="456"/>
        <v>0</v>
      </c>
      <c r="O598" s="5">
        <f t="shared" si="457"/>
        <v>17</v>
      </c>
      <c r="P598" s="6" t="str">
        <f t="shared" si="458"/>
        <v>30 Days</v>
      </c>
      <c r="Q598" s="7">
        <v>42855</v>
      </c>
      <c r="R598" s="6" t="str">
        <f>VLOOKUP(A598:A5035,[1]BOM_INV_OPERATOR_DETAILS_OUTPUT!$A$2:$D$1233,4,FALSE)</f>
        <v>AI</v>
      </c>
      <c r="S598" s="1">
        <v>110.98</v>
      </c>
      <c r="T598" s="1" t="s">
        <v>31</v>
      </c>
      <c r="V598" s="1" t="s">
        <v>13</v>
      </c>
      <c r="W598" s="2">
        <v>42838</v>
      </c>
      <c r="X598" s="1" t="s">
        <v>14</v>
      </c>
      <c r="Y598" s="1" t="str">
        <f>"4831172897"</f>
        <v>4831172897</v>
      </c>
    </row>
    <row r="599" spans="1:25" x14ac:dyDescent="0.2">
      <c r="A599" s="9" t="s">
        <v>2088</v>
      </c>
      <c r="B599" s="10">
        <v>42838</v>
      </c>
      <c r="C599" s="9" t="s">
        <v>2089</v>
      </c>
      <c r="D599" s="9" t="s">
        <v>666</v>
      </c>
      <c r="E599" s="9" t="s">
        <v>2190</v>
      </c>
      <c r="F599" s="9">
        <v>3377500</v>
      </c>
      <c r="G599" s="8">
        <v>7281</v>
      </c>
      <c r="H599" s="4">
        <f t="shared" si="450"/>
        <v>7281</v>
      </c>
      <c r="I599" s="4">
        <f t="shared" si="451"/>
        <v>0</v>
      </c>
      <c r="J599" s="4">
        <f t="shared" si="452"/>
        <v>0</v>
      </c>
      <c r="K599" s="4">
        <f t="shared" si="453"/>
        <v>0</v>
      </c>
      <c r="L599" s="4">
        <f t="shared" si="454"/>
        <v>0</v>
      </c>
      <c r="M599" s="4">
        <f t="shared" si="455"/>
        <v>0</v>
      </c>
      <c r="N599" s="4">
        <f t="shared" si="456"/>
        <v>0</v>
      </c>
      <c r="O599" s="5">
        <f t="shared" si="457"/>
        <v>17</v>
      </c>
      <c r="P599" s="6" t="str">
        <f t="shared" si="458"/>
        <v>30 Days</v>
      </c>
      <c r="Q599" s="7">
        <v>42855</v>
      </c>
      <c r="R599" s="6" t="str">
        <f>VLOOKUP(A599:A5036,[1]BOM_INV_OPERATOR_DETAILS_OUTPUT!$A$2:$D$1233,4,FALSE)</f>
        <v>AI</v>
      </c>
      <c r="S599" s="1">
        <v>110.98</v>
      </c>
      <c r="T599" s="1" t="s">
        <v>31</v>
      </c>
      <c r="V599" s="1" t="s">
        <v>13</v>
      </c>
      <c r="W599" s="2">
        <v>42839</v>
      </c>
      <c r="X599" s="1" t="s">
        <v>14</v>
      </c>
      <c r="Y599" s="1" t="str">
        <f>"410388010"</f>
        <v>410388010</v>
      </c>
    </row>
    <row r="600" spans="1:25" x14ac:dyDescent="0.2">
      <c r="A600" s="9" t="s">
        <v>458</v>
      </c>
      <c r="B600" s="10">
        <v>42768</v>
      </c>
      <c r="C600" s="9" t="s">
        <v>459</v>
      </c>
      <c r="D600" s="9" t="s">
        <v>148</v>
      </c>
      <c r="E600" s="9" t="s">
        <v>2190</v>
      </c>
      <c r="F600" s="9">
        <v>500000</v>
      </c>
      <c r="G600" s="8">
        <v>7290</v>
      </c>
      <c r="H600" s="4">
        <f t="shared" si="450"/>
        <v>0</v>
      </c>
      <c r="I600" s="4">
        <f t="shared" si="451"/>
        <v>0</v>
      </c>
      <c r="J600" s="4">
        <f t="shared" si="452"/>
        <v>0</v>
      </c>
      <c r="K600" s="4">
        <f t="shared" si="453"/>
        <v>7290</v>
      </c>
      <c r="L600" s="4">
        <f t="shared" si="454"/>
        <v>0</v>
      </c>
      <c r="M600" s="4">
        <f t="shared" si="455"/>
        <v>0</v>
      </c>
      <c r="N600" s="4">
        <f t="shared" si="456"/>
        <v>7290</v>
      </c>
      <c r="O600" s="5">
        <f t="shared" si="457"/>
        <v>87</v>
      </c>
      <c r="P600" s="6" t="str">
        <f t="shared" si="458"/>
        <v>61 To 90 Days</v>
      </c>
      <c r="Q600" s="7">
        <v>42855</v>
      </c>
      <c r="R600" s="6" t="s">
        <v>2178</v>
      </c>
      <c r="Y600" s="1" t="str">
        <f>"4750385573"</f>
        <v>4750385573</v>
      </c>
    </row>
    <row r="601" spans="1:25" x14ac:dyDescent="0.2">
      <c r="A601" s="9" t="s">
        <v>2054</v>
      </c>
      <c r="B601" s="10">
        <v>42837</v>
      </c>
      <c r="C601" s="9" t="s">
        <v>2055</v>
      </c>
      <c r="D601" s="9" t="s">
        <v>666</v>
      </c>
      <c r="E601" s="9" t="s">
        <v>2190</v>
      </c>
      <c r="F601" s="9">
        <v>3377500</v>
      </c>
      <c r="G601" s="8">
        <v>7294</v>
      </c>
      <c r="H601" s="4">
        <f t="shared" si="450"/>
        <v>7294</v>
      </c>
      <c r="I601" s="4">
        <f t="shared" si="451"/>
        <v>0</v>
      </c>
      <c r="J601" s="4">
        <f t="shared" si="452"/>
        <v>0</v>
      </c>
      <c r="K601" s="4">
        <f t="shared" si="453"/>
        <v>0</v>
      </c>
      <c r="L601" s="4">
        <f t="shared" si="454"/>
        <v>0</v>
      </c>
      <c r="M601" s="4">
        <f t="shared" si="455"/>
        <v>0</v>
      </c>
      <c r="N601" s="4">
        <f t="shared" si="456"/>
        <v>0</v>
      </c>
      <c r="O601" s="5">
        <f t="shared" si="457"/>
        <v>18</v>
      </c>
      <c r="P601" s="6" t="str">
        <f t="shared" si="458"/>
        <v>30 Days</v>
      </c>
      <c r="Q601" s="7">
        <v>42855</v>
      </c>
      <c r="R601" s="6" t="str">
        <f>VLOOKUP(A601:A5039,[1]BOM_INV_OPERATOR_DETAILS_OUTPUT!$A$2:$D$1233,4,FALSE)</f>
        <v>AI</v>
      </c>
      <c r="S601" s="1">
        <v>110.98</v>
      </c>
      <c r="T601" s="1" t="s">
        <v>31</v>
      </c>
      <c r="V601" s="1" t="s">
        <v>13</v>
      </c>
      <c r="W601" s="2">
        <v>42837</v>
      </c>
      <c r="X601" s="1" t="s">
        <v>14</v>
      </c>
      <c r="Y601" s="1" t="s">
        <v>2056</v>
      </c>
    </row>
    <row r="602" spans="1:25" x14ac:dyDescent="0.2">
      <c r="A602" s="9" t="s">
        <v>2013</v>
      </c>
      <c r="B602" s="10">
        <v>42836</v>
      </c>
      <c r="C602" s="9" t="s">
        <v>2014</v>
      </c>
      <c r="D602" s="9" t="s">
        <v>666</v>
      </c>
      <c r="E602" s="9" t="s">
        <v>2190</v>
      </c>
      <c r="F602" s="9">
        <v>3377500</v>
      </c>
      <c r="G602" s="8">
        <v>7306</v>
      </c>
      <c r="H602" s="4">
        <f t="shared" si="450"/>
        <v>7306</v>
      </c>
      <c r="I602" s="4">
        <f t="shared" si="451"/>
        <v>0</v>
      </c>
      <c r="J602" s="4">
        <f t="shared" si="452"/>
        <v>0</v>
      </c>
      <c r="K602" s="4">
        <f t="shared" si="453"/>
        <v>0</v>
      </c>
      <c r="L602" s="4">
        <f t="shared" si="454"/>
        <v>0</v>
      </c>
      <c r="M602" s="4">
        <f t="shared" si="455"/>
        <v>0</v>
      </c>
      <c r="N602" s="4">
        <f t="shared" si="456"/>
        <v>0</v>
      </c>
      <c r="O602" s="5">
        <f t="shared" si="457"/>
        <v>19</v>
      </c>
      <c r="P602" s="6" t="str">
        <f t="shared" si="458"/>
        <v>30 Days</v>
      </c>
      <c r="Q602" s="7">
        <v>42855</v>
      </c>
      <c r="R602" s="6" t="str">
        <f>VLOOKUP(A602:A5044,[1]BOM_INV_OPERATOR_DETAILS_OUTPUT!$A$2:$D$1233,4,FALSE)</f>
        <v>AI</v>
      </c>
      <c r="S602" s="1">
        <v>110.98</v>
      </c>
      <c r="T602" s="1" t="s">
        <v>31</v>
      </c>
      <c r="V602" s="1" t="s">
        <v>13</v>
      </c>
      <c r="W602" s="2">
        <v>42837</v>
      </c>
      <c r="X602" s="1" t="s">
        <v>14</v>
      </c>
      <c r="Y602" s="1" t="str">
        <f>"4912914385"</f>
        <v>4912914385</v>
      </c>
    </row>
    <row r="603" spans="1:25" x14ac:dyDescent="0.2">
      <c r="A603" s="9" t="s">
        <v>1656</v>
      </c>
      <c r="B603" s="10">
        <v>42828</v>
      </c>
      <c r="C603" s="9" t="s">
        <v>1657</v>
      </c>
      <c r="D603" s="9" t="s">
        <v>666</v>
      </c>
      <c r="E603" s="9" t="s">
        <v>2190</v>
      </c>
      <c r="F603" s="9">
        <v>3377500</v>
      </c>
      <c r="G603" s="8">
        <v>7320</v>
      </c>
      <c r="H603" s="4">
        <f t="shared" si="450"/>
        <v>7320</v>
      </c>
      <c r="I603" s="4">
        <f t="shared" si="451"/>
        <v>0</v>
      </c>
      <c r="J603" s="4">
        <f t="shared" si="452"/>
        <v>0</v>
      </c>
      <c r="K603" s="4">
        <f t="shared" si="453"/>
        <v>0</v>
      </c>
      <c r="L603" s="4">
        <f t="shared" si="454"/>
        <v>0</v>
      </c>
      <c r="M603" s="4">
        <f t="shared" si="455"/>
        <v>0</v>
      </c>
      <c r="N603" s="4">
        <f t="shared" si="456"/>
        <v>0</v>
      </c>
      <c r="O603" s="5">
        <f t="shared" si="457"/>
        <v>27</v>
      </c>
      <c r="P603" s="6" t="str">
        <f t="shared" si="458"/>
        <v>30 Days</v>
      </c>
      <c r="Q603" s="7">
        <v>42855</v>
      </c>
      <c r="R603" s="6" t="s">
        <v>2178</v>
      </c>
      <c r="S603" s="1">
        <v>110.98</v>
      </c>
      <c r="T603" s="1" t="s">
        <v>31</v>
      </c>
      <c r="V603" s="1" t="s">
        <v>13</v>
      </c>
      <c r="W603" s="2">
        <v>42828</v>
      </c>
      <c r="X603" s="1" t="s">
        <v>14</v>
      </c>
      <c r="Y603" s="1" t="str">
        <f>"4831171840"</f>
        <v>4831171840</v>
      </c>
    </row>
    <row r="604" spans="1:25" x14ac:dyDescent="0.2">
      <c r="A604" s="9" t="s">
        <v>1663</v>
      </c>
      <c r="B604" s="10">
        <v>42828</v>
      </c>
      <c r="C604" s="9" t="s">
        <v>1664</v>
      </c>
      <c r="D604" s="9" t="s">
        <v>666</v>
      </c>
      <c r="E604" s="9" t="s">
        <v>2190</v>
      </c>
      <c r="F604" s="9">
        <v>3377500</v>
      </c>
      <c r="G604" s="8">
        <v>7320</v>
      </c>
      <c r="H604" s="4">
        <f t="shared" si="450"/>
        <v>7320</v>
      </c>
      <c r="I604" s="4">
        <f t="shared" si="451"/>
        <v>0</v>
      </c>
      <c r="J604" s="4">
        <f t="shared" si="452"/>
        <v>0</v>
      </c>
      <c r="K604" s="4">
        <f t="shared" si="453"/>
        <v>0</v>
      </c>
      <c r="L604" s="4">
        <f t="shared" si="454"/>
        <v>0</v>
      </c>
      <c r="M604" s="4">
        <f t="shared" si="455"/>
        <v>0</v>
      </c>
      <c r="N604" s="4">
        <f t="shared" si="456"/>
        <v>0</v>
      </c>
      <c r="O604" s="5">
        <f t="shared" si="457"/>
        <v>27</v>
      </c>
      <c r="P604" s="6" t="str">
        <f t="shared" si="458"/>
        <v>30 Days</v>
      </c>
      <c r="Q604" s="7">
        <v>42855</v>
      </c>
      <c r="R604" s="6" t="s">
        <v>2178</v>
      </c>
      <c r="S604" s="1">
        <v>110.98</v>
      </c>
      <c r="T604" s="1" t="s">
        <v>31</v>
      </c>
      <c r="V604" s="1" t="s">
        <v>13</v>
      </c>
      <c r="W604" s="2">
        <v>42828</v>
      </c>
      <c r="X604" s="1" t="s">
        <v>14</v>
      </c>
      <c r="Y604" s="1" t="str">
        <f>"412121778"</f>
        <v>412121778</v>
      </c>
    </row>
    <row r="605" spans="1:25" x14ac:dyDescent="0.2">
      <c r="A605" s="9" t="s">
        <v>1541</v>
      </c>
      <c r="B605" s="10">
        <v>42825</v>
      </c>
      <c r="C605" s="9" t="s">
        <v>1542</v>
      </c>
      <c r="D605" s="9" t="s">
        <v>666</v>
      </c>
      <c r="E605" s="9" t="s">
        <v>2190</v>
      </c>
      <c r="F605" s="9">
        <v>3377500</v>
      </c>
      <c r="G605" s="8">
        <v>7324</v>
      </c>
      <c r="H605" s="4">
        <f t="shared" si="450"/>
        <v>7324</v>
      </c>
      <c r="I605" s="4">
        <f t="shared" si="451"/>
        <v>0</v>
      </c>
      <c r="J605" s="4">
        <f t="shared" si="452"/>
        <v>0</v>
      </c>
      <c r="K605" s="4">
        <f t="shared" si="453"/>
        <v>0</v>
      </c>
      <c r="L605" s="4">
        <f t="shared" si="454"/>
        <v>0</v>
      </c>
      <c r="M605" s="4">
        <f t="shared" si="455"/>
        <v>0</v>
      </c>
      <c r="N605" s="4">
        <f t="shared" si="456"/>
        <v>0</v>
      </c>
      <c r="O605" s="5">
        <f t="shared" si="457"/>
        <v>30</v>
      </c>
      <c r="P605" s="6" t="str">
        <f t="shared" si="458"/>
        <v>30 Days</v>
      </c>
      <c r="Q605" s="7">
        <v>42855</v>
      </c>
      <c r="R605" s="6" t="s">
        <v>2178</v>
      </c>
      <c r="S605" s="1">
        <v>110.98</v>
      </c>
      <c r="T605" s="1" t="s">
        <v>31</v>
      </c>
      <c r="V605" s="1" t="s">
        <v>13</v>
      </c>
      <c r="W605" s="2">
        <v>42825</v>
      </c>
      <c r="X605" s="1" t="s">
        <v>14</v>
      </c>
      <c r="Y605" s="1" t="s">
        <v>1543</v>
      </c>
    </row>
    <row r="606" spans="1:25" x14ac:dyDescent="0.2">
      <c r="A606" s="9" t="s">
        <v>1546</v>
      </c>
      <c r="B606" s="10">
        <v>42825</v>
      </c>
      <c r="C606" s="9" t="s">
        <v>1547</v>
      </c>
      <c r="D606" s="9" t="s">
        <v>666</v>
      </c>
      <c r="E606" s="9" t="s">
        <v>2190</v>
      </c>
      <c r="F606" s="9">
        <v>3377500</v>
      </c>
      <c r="G606" s="8">
        <v>7324</v>
      </c>
      <c r="H606" s="4">
        <f t="shared" si="450"/>
        <v>7324</v>
      </c>
      <c r="I606" s="4">
        <f t="shared" si="451"/>
        <v>0</v>
      </c>
      <c r="J606" s="4">
        <f t="shared" si="452"/>
        <v>0</v>
      </c>
      <c r="K606" s="4">
        <f t="shared" si="453"/>
        <v>0</v>
      </c>
      <c r="L606" s="4">
        <f t="shared" si="454"/>
        <v>0</v>
      </c>
      <c r="M606" s="4">
        <f t="shared" si="455"/>
        <v>0</v>
      </c>
      <c r="N606" s="4">
        <f t="shared" si="456"/>
        <v>0</v>
      </c>
      <c r="O606" s="5">
        <f t="shared" si="457"/>
        <v>30</v>
      </c>
      <c r="P606" s="6" t="str">
        <f t="shared" si="458"/>
        <v>30 Days</v>
      </c>
      <c r="Q606" s="7">
        <v>42855</v>
      </c>
      <c r="R606" s="6" t="s">
        <v>2178</v>
      </c>
      <c r="S606" s="1">
        <v>110.98</v>
      </c>
      <c r="T606" s="1" t="s">
        <v>31</v>
      </c>
      <c r="V606" s="1" t="s">
        <v>13</v>
      </c>
      <c r="W606" s="2">
        <v>42825</v>
      </c>
      <c r="X606" s="1" t="s">
        <v>14</v>
      </c>
      <c r="Y606" s="1" t="s">
        <v>1548</v>
      </c>
    </row>
    <row r="607" spans="1:25" x14ac:dyDescent="0.2">
      <c r="A607" s="9" t="s">
        <v>1549</v>
      </c>
      <c r="B607" s="10">
        <v>42825</v>
      </c>
      <c r="C607" s="9" t="s">
        <v>1550</v>
      </c>
      <c r="D607" s="9" t="s">
        <v>666</v>
      </c>
      <c r="E607" s="9" t="s">
        <v>2190</v>
      </c>
      <c r="F607" s="9">
        <v>3377500</v>
      </c>
      <c r="G607" s="8">
        <v>7324</v>
      </c>
      <c r="H607" s="4">
        <f t="shared" si="450"/>
        <v>7324</v>
      </c>
      <c r="I607" s="4">
        <f t="shared" si="451"/>
        <v>0</v>
      </c>
      <c r="J607" s="4">
        <f t="shared" si="452"/>
        <v>0</v>
      </c>
      <c r="K607" s="4">
        <f t="shared" si="453"/>
        <v>0</v>
      </c>
      <c r="L607" s="4">
        <f t="shared" si="454"/>
        <v>0</v>
      </c>
      <c r="M607" s="4">
        <f t="shared" si="455"/>
        <v>0</v>
      </c>
      <c r="N607" s="4">
        <f t="shared" si="456"/>
        <v>0</v>
      </c>
      <c r="O607" s="5">
        <f t="shared" si="457"/>
        <v>30</v>
      </c>
      <c r="P607" s="6" t="str">
        <f t="shared" si="458"/>
        <v>30 Days</v>
      </c>
      <c r="Q607" s="7">
        <v>42855</v>
      </c>
      <c r="R607" s="6" t="s">
        <v>2178</v>
      </c>
      <c r="S607" s="1">
        <v>110.98</v>
      </c>
      <c r="T607" s="1" t="s">
        <v>31</v>
      </c>
      <c r="V607" s="1" t="s">
        <v>13</v>
      </c>
      <c r="W607" s="2">
        <v>42825</v>
      </c>
      <c r="X607" s="1" t="s">
        <v>14</v>
      </c>
      <c r="Y607" s="1" t="str">
        <f>"4831171737"</f>
        <v>4831171737</v>
      </c>
    </row>
    <row r="608" spans="1:25" x14ac:dyDescent="0.2">
      <c r="A608" s="9" t="s">
        <v>1588</v>
      </c>
      <c r="B608" s="10">
        <v>42826</v>
      </c>
      <c r="C608" s="9" t="s">
        <v>1589</v>
      </c>
      <c r="D608" s="9" t="s">
        <v>30</v>
      </c>
      <c r="E608" s="9" t="s">
        <v>2190</v>
      </c>
      <c r="F608" s="9">
        <v>700000</v>
      </c>
      <c r="G608" s="8">
        <v>7327</v>
      </c>
      <c r="H608" s="4">
        <f t="shared" si="450"/>
        <v>7327</v>
      </c>
      <c r="I608" s="4">
        <f t="shared" si="451"/>
        <v>0</v>
      </c>
      <c r="J608" s="4">
        <f t="shared" si="452"/>
        <v>0</v>
      </c>
      <c r="K608" s="4">
        <f t="shared" si="453"/>
        <v>0</v>
      </c>
      <c r="L608" s="4">
        <f t="shared" si="454"/>
        <v>0</v>
      </c>
      <c r="M608" s="4">
        <f t="shared" si="455"/>
        <v>0</v>
      </c>
      <c r="N608" s="4">
        <f t="shared" si="456"/>
        <v>0</v>
      </c>
      <c r="O608" s="5">
        <f t="shared" si="457"/>
        <v>29</v>
      </c>
      <c r="P608" s="6" t="str">
        <f t="shared" si="458"/>
        <v>30 Days</v>
      </c>
      <c r="Q608" s="7">
        <v>42855</v>
      </c>
      <c r="R608" s="6" t="s">
        <v>2178</v>
      </c>
      <c r="Y608" s="1" t="str">
        <f>"4930437465"</f>
        <v>4930437465</v>
      </c>
    </row>
    <row r="609" spans="1:25" x14ac:dyDescent="0.2">
      <c r="A609" s="9" t="s">
        <v>242</v>
      </c>
      <c r="B609" s="10">
        <v>42735</v>
      </c>
      <c r="C609" s="9" t="s">
        <v>243</v>
      </c>
      <c r="D609" s="9" t="s">
        <v>241</v>
      </c>
      <c r="E609" s="9" t="s">
        <v>2190</v>
      </c>
      <c r="F609" s="9">
        <v>75000</v>
      </c>
      <c r="G609" s="8">
        <v>7337</v>
      </c>
      <c r="H609" s="4">
        <f t="shared" si="450"/>
        <v>0</v>
      </c>
      <c r="I609" s="4">
        <f t="shared" si="451"/>
        <v>0</v>
      </c>
      <c r="J609" s="4">
        <f t="shared" si="452"/>
        <v>0</v>
      </c>
      <c r="K609" s="4">
        <f t="shared" si="453"/>
        <v>0</v>
      </c>
      <c r="L609" s="4">
        <f t="shared" si="454"/>
        <v>7337</v>
      </c>
      <c r="M609" s="4">
        <f t="shared" si="455"/>
        <v>0</v>
      </c>
      <c r="N609" s="4">
        <f t="shared" si="456"/>
        <v>7337</v>
      </c>
      <c r="O609" s="5">
        <f t="shared" si="457"/>
        <v>120</v>
      </c>
      <c r="P609" s="6" t="str">
        <f t="shared" si="458"/>
        <v>91 To 120 Days</v>
      </c>
      <c r="Q609" s="7">
        <v>42855</v>
      </c>
      <c r="R609" s="6" t="s">
        <v>2178</v>
      </c>
      <c r="Y609" s="1" t="str">
        <f>"4850055426"</f>
        <v>4850055426</v>
      </c>
    </row>
    <row r="610" spans="1:25" x14ac:dyDescent="0.2">
      <c r="A610" s="9" t="s">
        <v>1435</v>
      </c>
      <c r="B610" s="10">
        <v>42823</v>
      </c>
      <c r="C610" s="9" t="s">
        <v>1436</v>
      </c>
      <c r="D610" s="9" t="s">
        <v>666</v>
      </c>
      <c r="E610" s="9" t="s">
        <v>2190</v>
      </c>
      <c r="F610" s="9">
        <v>3377500</v>
      </c>
      <c r="G610" s="8">
        <v>7340</v>
      </c>
      <c r="H610" s="4">
        <f t="shared" si="450"/>
        <v>0</v>
      </c>
      <c r="I610" s="4">
        <f t="shared" si="451"/>
        <v>7340</v>
      </c>
      <c r="J610" s="4">
        <f t="shared" si="452"/>
        <v>0</v>
      </c>
      <c r="K610" s="4">
        <f t="shared" si="453"/>
        <v>0</v>
      </c>
      <c r="L610" s="4">
        <f t="shared" si="454"/>
        <v>0</v>
      </c>
      <c r="M610" s="4">
        <f t="shared" si="455"/>
        <v>0</v>
      </c>
      <c r="N610" s="4">
        <f t="shared" si="456"/>
        <v>0</v>
      </c>
      <c r="O610" s="5">
        <f t="shared" si="457"/>
        <v>32</v>
      </c>
      <c r="P610" s="6" t="str">
        <f t="shared" si="458"/>
        <v>31 TO 45 Days</v>
      </c>
      <c r="Q610" s="7">
        <v>42855</v>
      </c>
      <c r="R610" s="6" t="s">
        <v>2178</v>
      </c>
      <c r="S610" s="1">
        <v>110.98</v>
      </c>
      <c r="T610" s="1" t="s">
        <v>31</v>
      </c>
      <c r="V610" s="1" t="s">
        <v>13</v>
      </c>
      <c r="W610" s="2">
        <v>42823</v>
      </c>
      <c r="X610" s="1" t="s">
        <v>14</v>
      </c>
      <c r="Y610" s="1" t="str">
        <f>"415189315"</f>
        <v>415189315</v>
      </c>
    </row>
    <row r="611" spans="1:25" x14ac:dyDescent="0.2">
      <c r="A611" s="9" t="s">
        <v>332</v>
      </c>
      <c r="B611" s="10">
        <v>42752</v>
      </c>
      <c r="C611" s="9" t="s">
        <v>333</v>
      </c>
      <c r="D611" s="9" t="s">
        <v>133</v>
      </c>
      <c r="E611" s="9" t="s">
        <v>2190</v>
      </c>
      <c r="F611" s="9">
        <v>20000000</v>
      </c>
      <c r="G611" s="8">
        <v>7344</v>
      </c>
      <c r="H611" s="4">
        <f t="shared" si="450"/>
        <v>0</v>
      </c>
      <c r="I611" s="4">
        <f t="shared" si="451"/>
        <v>0</v>
      </c>
      <c r="J611" s="4">
        <f t="shared" si="452"/>
        <v>0</v>
      </c>
      <c r="K611" s="4">
        <f t="shared" si="453"/>
        <v>0</v>
      </c>
      <c r="L611" s="4">
        <f t="shared" si="454"/>
        <v>7344</v>
      </c>
      <c r="M611" s="4">
        <f t="shared" si="455"/>
        <v>0</v>
      </c>
      <c r="N611" s="4">
        <f t="shared" si="456"/>
        <v>7344</v>
      </c>
      <c r="O611" s="5">
        <f t="shared" si="457"/>
        <v>103</v>
      </c>
      <c r="P611" s="6" t="str">
        <f t="shared" si="458"/>
        <v>91 To 120 Days</v>
      </c>
      <c r="Q611" s="7">
        <v>42855</v>
      </c>
      <c r="R611" s="6" t="s">
        <v>2178</v>
      </c>
      <c r="V611" s="1" t="s">
        <v>13</v>
      </c>
      <c r="Y611" s="1" t="str">
        <f>"4210170790"</f>
        <v>4210170790</v>
      </c>
    </row>
    <row r="612" spans="1:25" x14ac:dyDescent="0.2">
      <c r="A612" s="9" t="s">
        <v>1721</v>
      </c>
      <c r="B612" s="10">
        <v>42830</v>
      </c>
      <c r="C612" s="9" t="s">
        <v>1722</v>
      </c>
      <c r="D612" s="9" t="s">
        <v>1720</v>
      </c>
      <c r="E612" s="9" t="s">
        <v>2190</v>
      </c>
      <c r="F612" s="9">
        <v>0</v>
      </c>
      <c r="G612" s="8">
        <v>7349</v>
      </c>
      <c r="H612" s="4">
        <f t="shared" si="450"/>
        <v>7349</v>
      </c>
      <c r="I612" s="4">
        <f t="shared" si="451"/>
        <v>0</v>
      </c>
      <c r="J612" s="4">
        <f t="shared" si="452"/>
        <v>0</v>
      </c>
      <c r="K612" s="4">
        <f t="shared" si="453"/>
        <v>0</v>
      </c>
      <c r="L612" s="4">
        <f t="shared" si="454"/>
        <v>0</v>
      </c>
      <c r="M612" s="4">
        <f t="shared" si="455"/>
        <v>0</v>
      </c>
      <c r="N612" s="4">
        <f t="shared" si="456"/>
        <v>0</v>
      </c>
      <c r="O612" s="5">
        <f t="shared" si="457"/>
        <v>25</v>
      </c>
      <c r="P612" s="6" t="str">
        <f t="shared" si="458"/>
        <v>30 Days</v>
      </c>
      <c r="Q612" s="7">
        <v>42855</v>
      </c>
      <c r="R612" s="6" t="s">
        <v>2178</v>
      </c>
      <c r="Y612" s="1" t="str">
        <f>"4912910518"</f>
        <v>4912910518</v>
      </c>
    </row>
    <row r="613" spans="1:25" x14ac:dyDescent="0.2">
      <c r="A613" s="9" t="s">
        <v>1962</v>
      </c>
      <c r="B613" s="10">
        <v>42836</v>
      </c>
      <c r="C613" s="9" t="s">
        <v>1963</v>
      </c>
      <c r="D613" s="9" t="s">
        <v>1961</v>
      </c>
      <c r="E613" s="9" t="s">
        <v>2190</v>
      </c>
      <c r="F613" s="9">
        <v>0</v>
      </c>
      <c r="G613" s="8">
        <v>7349</v>
      </c>
      <c r="H613" s="4">
        <f t="shared" si="450"/>
        <v>7349</v>
      </c>
      <c r="I613" s="4">
        <f t="shared" si="451"/>
        <v>0</v>
      </c>
      <c r="J613" s="4">
        <f t="shared" si="452"/>
        <v>0</v>
      </c>
      <c r="K613" s="4">
        <f t="shared" si="453"/>
        <v>0</v>
      </c>
      <c r="L613" s="4">
        <f t="shared" si="454"/>
        <v>0</v>
      </c>
      <c r="M613" s="4">
        <f t="shared" si="455"/>
        <v>0</v>
      </c>
      <c r="N613" s="4">
        <f t="shared" si="456"/>
        <v>0</v>
      </c>
      <c r="O613" s="5">
        <f t="shared" si="457"/>
        <v>19</v>
      </c>
      <c r="P613" s="6" t="str">
        <f t="shared" si="458"/>
        <v>30 Days</v>
      </c>
      <c r="Q613" s="7">
        <v>42855</v>
      </c>
      <c r="R613" s="6" t="str">
        <f>VLOOKUP(A613:A5064,[1]BOM_INV_OPERATOR_DETAILS_OUTPUT!$A$2:$D$1233,4,FALSE)</f>
        <v>AI</v>
      </c>
      <c r="Y613" s="1" t="str">
        <f>"4912914415"</f>
        <v>4912914415</v>
      </c>
    </row>
    <row r="614" spans="1:25" x14ac:dyDescent="0.2">
      <c r="A614" s="9" t="s">
        <v>1964</v>
      </c>
      <c r="B614" s="10">
        <v>42836</v>
      </c>
      <c r="C614" s="9" t="s">
        <v>1965</v>
      </c>
      <c r="D614" s="9" t="s">
        <v>1961</v>
      </c>
      <c r="E614" s="9" t="s">
        <v>2190</v>
      </c>
      <c r="F614" s="9">
        <v>0</v>
      </c>
      <c r="G614" s="8">
        <v>7349</v>
      </c>
      <c r="H614" s="4">
        <f t="shared" si="450"/>
        <v>7349</v>
      </c>
      <c r="I614" s="4">
        <f t="shared" si="451"/>
        <v>0</v>
      </c>
      <c r="J614" s="4">
        <f t="shared" si="452"/>
        <v>0</v>
      </c>
      <c r="K614" s="4">
        <f t="shared" si="453"/>
        <v>0</v>
      </c>
      <c r="L614" s="4">
        <f t="shared" si="454"/>
        <v>0</v>
      </c>
      <c r="M614" s="4">
        <f t="shared" si="455"/>
        <v>0</v>
      </c>
      <c r="N614" s="4">
        <f t="shared" si="456"/>
        <v>0</v>
      </c>
      <c r="O614" s="5">
        <f t="shared" si="457"/>
        <v>19</v>
      </c>
      <c r="P614" s="6" t="str">
        <f t="shared" si="458"/>
        <v>30 Days</v>
      </c>
      <c r="Q614" s="7">
        <v>42855</v>
      </c>
      <c r="R614" s="6" t="str">
        <f>VLOOKUP(A614:A5065,[1]BOM_INV_OPERATOR_DETAILS_OUTPUT!$A$2:$D$1233,4,FALSE)</f>
        <v>AI</v>
      </c>
      <c r="Y614" s="1" t="str">
        <f>"4912914416"</f>
        <v>4912914416</v>
      </c>
    </row>
    <row r="615" spans="1:25" x14ac:dyDescent="0.2">
      <c r="A615" s="9" t="s">
        <v>1969</v>
      </c>
      <c r="B615" s="10">
        <v>42836</v>
      </c>
      <c r="C615" s="9" t="s">
        <v>1970</v>
      </c>
      <c r="D615" s="9" t="s">
        <v>1961</v>
      </c>
      <c r="E615" s="9" t="s">
        <v>2190</v>
      </c>
      <c r="F615" s="9">
        <v>0</v>
      </c>
      <c r="G615" s="8">
        <v>7349</v>
      </c>
      <c r="H615" s="4">
        <f t="shared" si="450"/>
        <v>7349</v>
      </c>
      <c r="I615" s="4">
        <f t="shared" si="451"/>
        <v>0</v>
      </c>
      <c r="J615" s="4">
        <f t="shared" si="452"/>
        <v>0</v>
      </c>
      <c r="K615" s="4">
        <f t="shared" si="453"/>
        <v>0</v>
      </c>
      <c r="L615" s="4">
        <f t="shared" si="454"/>
        <v>0</v>
      </c>
      <c r="M615" s="4">
        <f t="shared" si="455"/>
        <v>0</v>
      </c>
      <c r="N615" s="4">
        <f t="shared" si="456"/>
        <v>0</v>
      </c>
      <c r="O615" s="5">
        <f t="shared" si="457"/>
        <v>19</v>
      </c>
      <c r="P615" s="6" t="str">
        <f t="shared" si="458"/>
        <v>30 Days</v>
      </c>
      <c r="Q615" s="7">
        <v>42855</v>
      </c>
      <c r="R615" s="6" t="str">
        <f>VLOOKUP(A615:A5066,[1]BOM_INV_OPERATOR_DETAILS_OUTPUT!$A$2:$D$1233,4,FALSE)</f>
        <v>AI</v>
      </c>
      <c r="Y615" s="1" t="str">
        <f>"4912914417"</f>
        <v>4912914417</v>
      </c>
    </row>
    <row r="616" spans="1:25" x14ac:dyDescent="0.2">
      <c r="A616" s="9" t="s">
        <v>1809</v>
      </c>
      <c r="B616" s="10">
        <v>42835</v>
      </c>
      <c r="C616" s="9" t="s">
        <v>1810</v>
      </c>
      <c r="D616" s="9" t="s">
        <v>1808</v>
      </c>
      <c r="E616" s="9" t="s">
        <v>2190</v>
      </c>
      <c r="F616" s="9">
        <v>0</v>
      </c>
      <c r="G616" s="8">
        <v>7349</v>
      </c>
      <c r="H616" s="4">
        <f t="shared" si="450"/>
        <v>7349</v>
      </c>
      <c r="I616" s="4">
        <f t="shared" si="451"/>
        <v>0</v>
      </c>
      <c r="J616" s="4">
        <f t="shared" si="452"/>
        <v>0</v>
      </c>
      <c r="K616" s="4">
        <f t="shared" si="453"/>
        <v>0</v>
      </c>
      <c r="L616" s="4">
        <f t="shared" si="454"/>
        <v>0</v>
      </c>
      <c r="M616" s="4">
        <f t="shared" si="455"/>
        <v>0</v>
      </c>
      <c r="N616" s="4">
        <f t="shared" si="456"/>
        <v>0</v>
      </c>
      <c r="O616" s="5">
        <f t="shared" si="457"/>
        <v>20</v>
      </c>
      <c r="P616" s="6" t="str">
        <f t="shared" si="458"/>
        <v>30 Days</v>
      </c>
      <c r="Q616" s="7">
        <v>42855</v>
      </c>
      <c r="R616" s="6" t="str">
        <f>VLOOKUP(A616:A5067,[1]BOM_INV_OPERATOR_DETAILS_OUTPUT!$A$2:$D$1233,4,FALSE)</f>
        <v>AI</v>
      </c>
      <c r="Y616" s="1" t="str">
        <f>"4912904833"</f>
        <v>4912904833</v>
      </c>
    </row>
    <row r="617" spans="1:25" x14ac:dyDescent="0.2">
      <c r="A617" s="9" t="s">
        <v>1762</v>
      </c>
      <c r="B617" s="10">
        <v>42831</v>
      </c>
      <c r="C617" s="9" t="s">
        <v>1763</v>
      </c>
      <c r="D617" s="9" t="s">
        <v>666</v>
      </c>
      <c r="E617" s="9" t="s">
        <v>2190</v>
      </c>
      <c r="F617" s="9">
        <v>3377500</v>
      </c>
      <c r="G617" s="8">
        <v>7350</v>
      </c>
      <c r="H617" s="4">
        <f t="shared" si="450"/>
        <v>7350</v>
      </c>
      <c r="I617" s="4">
        <f t="shared" si="451"/>
        <v>0</v>
      </c>
      <c r="J617" s="4">
        <f t="shared" si="452"/>
        <v>0</v>
      </c>
      <c r="K617" s="4">
        <f t="shared" si="453"/>
        <v>0</v>
      </c>
      <c r="L617" s="4">
        <f t="shared" si="454"/>
        <v>0</v>
      </c>
      <c r="M617" s="4">
        <f t="shared" si="455"/>
        <v>0</v>
      </c>
      <c r="N617" s="4">
        <f t="shared" si="456"/>
        <v>0</v>
      </c>
      <c r="O617" s="5">
        <f t="shared" si="457"/>
        <v>24</v>
      </c>
      <c r="P617" s="6" t="str">
        <f t="shared" si="458"/>
        <v>30 Days</v>
      </c>
      <c r="Q617" s="7">
        <v>42855</v>
      </c>
      <c r="R617" s="6" t="s">
        <v>2178</v>
      </c>
      <c r="S617" s="1">
        <v>110.98</v>
      </c>
      <c r="T617" s="1" t="s">
        <v>31</v>
      </c>
      <c r="V617" s="1" t="s">
        <v>13</v>
      </c>
      <c r="W617" s="2">
        <v>42831</v>
      </c>
      <c r="X617" s="1" t="s">
        <v>14</v>
      </c>
      <c r="Y617" s="1" t="s">
        <v>1764</v>
      </c>
    </row>
    <row r="618" spans="1:25" x14ac:dyDescent="0.2">
      <c r="A618" s="9" t="s">
        <v>1572</v>
      </c>
      <c r="B618" s="10">
        <v>42826</v>
      </c>
      <c r="C618" s="9" t="s">
        <v>1573</v>
      </c>
      <c r="D618" s="9" t="s">
        <v>39</v>
      </c>
      <c r="E618" s="9" t="s">
        <v>2190</v>
      </c>
      <c r="F618" s="9">
        <v>7500000</v>
      </c>
      <c r="G618" s="8">
        <v>7351</v>
      </c>
      <c r="H618" s="4">
        <f t="shared" si="450"/>
        <v>7351</v>
      </c>
      <c r="I618" s="4">
        <f t="shared" si="451"/>
        <v>0</v>
      </c>
      <c r="J618" s="4">
        <f t="shared" si="452"/>
        <v>0</v>
      </c>
      <c r="K618" s="4">
        <f t="shared" si="453"/>
        <v>0</v>
      </c>
      <c r="L618" s="4">
        <f t="shared" si="454"/>
        <v>0</v>
      </c>
      <c r="M618" s="4">
        <f t="shared" si="455"/>
        <v>0</v>
      </c>
      <c r="N618" s="4">
        <f t="shared" si="456"/>
        <v>0</v>
      </c>
      <c r="O618" s="5">
        <f t="shared" si="457"/>
        <v>29</v>
      </c>
      <c r="P618" s="6" t="str">
        <f t="shared" si="458"/>
        <v>30 Days</v>
      </c>
      <c r="Q618" s="7">
        <v>42855</v>
      </c>
      <c r="R618" s="6" t="s">
        <v>2178</v>
      </c>
      <c r="Y618" s="1" t="str">
        <f>"4250155917"</f>
        <v>4250155917</v>
      </c>
    </row>
    <row r="619" spans="1:25" x14ac:dyDescent="0.2">
      <c r="A619" s="9" t="s">
        <v>1760</v>
      </c>
      <c r="B619" s="10">
        <v>42831</v>
      </c>
      <c r="C619" s="9" t="s">
        <v>1761</v>
      </c>
      <c r="D619" s="9" t="s">
        <v>1759</v>
      </c>
      <c r="E619" s="9" t="s">
        <v>2190</v>
      </c>
      <c r="F619" s="9">
        <v>0</v>
      </c>
      <c r="G619" s="8">
        <v>7353</v>
      </c>
      <c r="H619" s="4">
        <f t="shared" ref="H619:H647" si="459">IF(O619&lt;=30,G619,0)</f>
        <v>7353</v>
      </c>
      <c r="I619" s="4">
        <f t="shared" ref="I619:I647" si="460">IF(AND(O619&gt;30,O619&lt;=45),G619,0)</f>
        <v>0</v>
      </c>
      <c r="J619" s="4">
        <f t="shared" ref="J619:J647" si="461">IF(AND(O619&gt;45,O619&lt;=60),G619,0)</f>
        <v>0</v>
      </c>
      <c r="K619" s="4">
        <f t="shared" ref="K619:K647" si="462">IF(AND(O619&gt;60,O619&lt;=90),G619,0)</f>
        <v>0</v>
      </c>
      <c r="L619" s="4">
        <f t="shared" ref="L619:L647" si="463">IF(AND(O619&gt;90,O619&lt;=120),G619,0)</f>
        <v>0</v>
      </c>
      <c r="M619" s="4">
        <f t="shared" ref="M619:M647" si="464">IF(O619&gt;120,G619,0)</f>
        <v>0</v>
      </c>
      <c r="N619" s="4">
        <f t="shared" ref="N619:N647" si="465">IF(O619&gt;60,G619,0)</f>
        <v>0</v>
      </c>
      <c r="O619" s="5">
        <f t="shared" ref="O619:O647" si="466">Q619-B619</f>
        <v>24</v>
      </c>
      <c r="P619" s="6" t="str">
        <f t="shared" ref="P619:P647" si="467">IF(AND(O619&lt;=30),"30 Days",IF(AND(O619&gt;30,O619&lt;=45),"31 TO 45 Days",IF(AND(O619&gt;45,O619&lt;=60),"46 To 60 Days",IF(AND(O619&gt;60,O619&lt;=90),"61 To 90 Days",IF(AND(O619&gt;90,O619&lt;=120),"91 To 120 Days",IF(AND(O619&gt;120),"Plus120Days",))))))</f>
        <v>30 Days</v>
      </c>
      <c r="Q619" s="7">
        <v>42855</v>
      </c>
      <c r="R619" s="6" t="s">
        <v>2178</v>
      </c>
      <c r="Y619" s="1" t="str">
        <f>"417470475"</f>
        <v>417470475</v>
      </c>
    </row>
    <row r="620" spans="1:25" x14ac:dyDescent="0.2">
      <c r="A620" s="9" t="s">
        <v>1988</v>
      </c>
      <c r="B620" s="10">
        <v>42836</v>
      </c>
      <c r="C620" s="9" t="s">
        <v>1989</v>
      </c>
      <c r="D620" s="9" t="s">
        <v>15</v>
      </c>
      <c r="E620" s="9" t="s">
        <v>2190</v>
      </c>
      <c r="F620" s="9">
        <v>5000000</v>
      </c>
      <c r="G620" s="8">
        <v>7356</v>
      </c>
      <c r="H620" s="4">
        <f t="shared" si="459"/>
        <v>7356</v>
      </c>
      <c r="I620" s="4">
        <f t="shared" si="460"/>
        <v>0</v>
      </c>
      <c r="J620" s="4">
        <f t="shared" si="461"/>
        <v>0</v>
      </c>
      <c r="K620" s="4">
        <f t="shared" si="462"/>
        <v>0</v>
      </c>
      <c r="L620" s="4">
        <f t="shared" si="463"/>
        <v>0</v>
      </c>
      <c r="M620" s="4">
        <f t="shared" si="464"/>
        <v>0</v>
      </c>
      <c r="N620" s="4">
        <f t="shared" si="465"/>
        <v>0</v>
      </c>
      <c r="O620" s="5">
        <f t="shared" si="466"/>
        <v>19</v>
      </c>
      <c r="P620" s="6" t="str">
        <f t="shared" si="467"/>
        <v>30 Days</v>
      </c>
      <c r="Q620" s="7">
        <v>42855</v>
      </c>
      <c r="R620" s="6" t="str">
        <f>VLOOKUP(A620:A5072,[1]BOM_INV_OPERATOR_DETAILS_OUTPUT!$A$2:$D$1233,4,FALSE)</f>
        <v>AI</v>
      </c>
      <c r="Y620" s="1" t="str">
        <f>"419166626"</f>
        <v>419166626</v>
      </c>
    </row>
    <row r="621" spans="1:25" x14ac:dyDescent="0.2">
      <c r="A621" s="9" t="s">
        <v>1644</v>
      </c>
      <c r="B621" s="10">
        <v>42828</v>
      </c>
      <c r="C621" s="9" t="s">
        <v>1645</v>
      </c>
      <c r="D621" s="9" t="s">
        <v>666</v>
      </c>
      <c r="E621" s="9" t="s">
        <v>2190</v>
      </c>
      <c r="F621" s="9">
        <v>3377500</v>
      </c>
      <c r="G621" s="8">
        <v>7360</v>
      </c>
      <c r="H621" s="4">
        <f t="shared" si="459"/>
        <v>7360</v>
      </c>
      <c r="I621" s="4">
        <f t="shared" si="460"/>
        <v>0</v>
      </c>
      <c r="J621" s="4">
        <f t="shared" si="461"/>
        <v>0</v>
      </c>
      <c r="K621" s="4">
        <f t="shared" si="462"/>
        <v>0</v>
      </c>
      <c r="L621" s="4">
        <f t="shared" si="463"/>
        <v>0</v>
      </c>
      <c r="M621" s="4">
        <f t="shared" si="464"/>
        <v>0</v>
      </c>
      <c r="N621" s="4">
        <f t="shared" si="465"/>
        <v>0</v>
      </c>
      <c r="O621" s="5">
        <f t="shared" si="466"/>
        <v>27</v>
      </c>
      <c r="P621" s="6" t="str">
        <f t="shared" si="467"/>
        <v>30 Days</v>
      </c>
      <c r="Q621" s="7">
        <v>42855</v>
      </c>
      <c r="R621" s="6" t="s">
        <v>2178</v>
      </c>
      <c r="S621" s="1">
        <v>111.58</v>
      </c>
      <c r="T621" s="1" t="s">
        <v>31</v>
      </c>
      <c r="V621" s="1" t="s">
        <v>13</v>
      </c>
      <c r="W621" s="2">
        <v>42828</v>
      </c>
      <c r="X621" s="1" t="s">
        <v>14</v>
      </c>
      <c r="Y621" s="1" t="str">
        <f>"4831171991"</f>
        <v>4831171991</v>
      </c>
    </row>
    <row r="622" spans="1:25" x14ac:dyDescent="0.2">
      <c r="A622" s="9" t="s">
        <v>1718</v>
      </c>
      <c r="B622" s="10">
        <v>42830</v>
      </c>
      <c r="C622" s="9" t="s">
        <v>1719</v>
      </c>
      <c r="D622" s="9" t="s">
        <v>270</v>
      </c>
      <c r="E622" s="9" t="s">
        <v>2190</v>
      </c>
      <c r="F622" s="9">
        <v>0</v>
      </c>
      <c r="G622" s="8">
        <v>7368</v>
      </c>
      <c r="H622" s="4">
        <f t="shared" si="459"/>
        <v>7368</v>
      </c>
      <c r="I622" s="4">
        <f t="shared" si="460"/>
        <v>0</v>
      </c>
      <c r="J622" s="4">
        <f t="shared" si="461"/>
        <v>0</v>
      </c>
      <c r="K622" s="4">
        <f t="shared" si="462"/>
        <v>0</v>
      </c>
      <c r="L622" s="4">
        <f t="shared" si="463"/>
        <v>0</v>
      </c>
      <c r="M622" s="4">
        <f t="shared" si="464"/>
        <v>0</v>
      </c>
      <c r="N622" s="4">
        <f t="shared" si="465"/>
        <v>0</v>
      </c>
      <c r="O622" s="5">
        <f t="shared" si="466"/>
        <v>25</v>
      </c>
      <c r="P622" s="6" t="str">
        <f t="shared" si="467"/>
        <v>30 Days</v>
      </c>
      <c r="Q622" s="7">
        <v>42855</v>
      </c>
      <c r="R622" s="6" t="s">
        <v>2178</v>
      </c>
      <c r="Y622" s="1" t="str">
        <f>"4560219184"</f>
        <v>4560219184</v>
      </c>
    </row>
    <row r="623" spans="1:25" x14ac:dyDescent="0.2">
      <c r="A623" s="9" t="s">
        <v>1419</v>
      </c>
      <c r="B623" s="10">
        <v>42822</v>
      </c>
      <c r="C623" s="9" t="s">
        <v>1420</v>
      </c>
      <c r="D623" s="9" t="s">
        <v>133</v>
      </c>
      <c r="E623" s="9" t="s">
        <v>2190</v>
      </c>
      <c r="F623" s="9">
        <v>20000000</v>
      </c>
      <c r="G623" s="8">
        <v>7385</v>
      </c>
      <c r="H623" s="4">
        <f t="shared" si="459"/>
        <v>0</v>
      </c>
      <c r="I623" s="4">
        <f t="shared" si="460"/>
        <v>7385</v>
      </c>
      <c r="J623" s="4">
        <f t="shared" si="461"/>
        <v>0</v>
      </c>
      <c r="K623" s="4">
        <f t="shared" si="462"/>
        <v>0</v>
      </c>
      <c r="L623" s="4">
        <f t="shared" si="463"/>
        <v>0</v>
      </c>
      <c r="M623" s="4">
        <f t="shared" si="464"/>
        <v>0</v>
      </c>
      <c r="N623" s="4">
        <f t="shared" si="465"/>
        <v>0</v>
      </c>
      <c r="O623" s="5">
        <f t="shared" si="466"/>
        <v>33</v>
      </c>
      <c r="P623" s="6" t="str">
        <f t="shared" si="467"/>
        <v>31 TO 45 Days</v>
      </c>
      <c r="Q623" s="7">
        <v>42855</v>
      </c>
      <c r="R623" s="6" t="s">
        <v>2178</v>
      </c>
      <c r="V623" s="1" t="s">
        <v>13</v>
      </c>
      <c r="W623" s="2">
        <v>42822</v>
      </c>
      <c r="X623" s="1" t="s">
        <v>14</v>
      </c>
      <c r="Y623" s="1" t="str">
        <f>"4210172083"</f>
        <v>4210172083</v>
      </c>
    </row>
    <row r="624" spans="1:25" x14ac:dyDescent="0.2">
      <c r="A624" s="9" t="s">
        <v>192</v>
      </c>
      <c r="B624" s="10">
        <v>42728</v>
      </c>
      <c r="C624" s="9" t="s">
        <v>193</v>
      </c>
      <c r="D624" s="9" t="s">
        <v>133</v>
      </c>
      <c r="E624" s="9" t="s">
        <v>2190</v>
      </c>
      <c r="F624" s="9">
        <v>20000000</v>
      </c>
      <c r="G624" s="8">
        <v>7388</v>
      </c>
      <c r="H624" s="4">
        <f t="shared" si="459"/>
        <v>0</v>
      </c>
      <c r="I624" s="4">
        <f t="shared" si="460"/>
        <v>0</v>
      </c>
      <c r="J624" s="4">
        <f t="shared" si="461"/>
        <v>0</v>
      </c>
      <c r="K624" s="4">
        <f t="shared" si="462"/>
        <v>0</v>
      </c>
      <c r="L624" s="4">
        <f t="shared" si="463"/>
        <v>0</v>
      </c>
      <c r="M624" s="4">
        <f t="shared" si="464"/>
        <v>7388</v>
      </c>
      <c r="N624" s="4">
        <f t="shared" si="465"/>
        <v>7388</v>
      </c>
      <c r="O624" s="5">
        <f t="shared" si="466"/>
        <v>127</v>
      </c>
      <c r="P624" s="6" t="str">
        <f t="shared" si="467"/>
        <v>Plus120Days</v>
      </c>
      <c r="Q624" s="7">
        <v>42855</v>
      </c>
      <c r="R624" s="6" t="s">
        <v>2178</v>
      </c>
      <c r="V624" s="1" t="s">
        <v>13</v>
      </c>
      <c r="Y624" s="1" t="str">
        <f>"4711216231"</f>
        <v>4711216231</v>
      </c>
    </row>
    <row r="625" spans="1:25" x14ac:dyDescent="0.2">
      <c r="A625" s="9" t="s">
        <v>1254</v>
      </c>
      <c r="B625" s="10">
        <v>42817</v>
      </c>
      <c r="C625" s="9" t="s">
        <v>1255</v>
      </c>
      <c r="D625" s="9" t="s">
        <v>666</v>
      </c>
      <c r="E625" s="9" t="s">
        <v>2190</v>
      </c>
      <c r="F625" s="9">
        <v>3377500</v>
      </c>
      <c r="G625" s="8">
        <v>7390</v>
      </c>
      <c r="H625" s="4">
        <f t="shared" si="459"/>
        <v>0</v>
      </c>
      <c r="I625" s="4">
        <f t="shared" si="460"/>
        <v>7390</v>
      </c>
      <c r="J625" s="4">
        <f t="shared" si="461"/>
        <v>0</v>
      </c>
      <c r="K625" s="4">
        <f t="shared" si="462"/>
        <v>0</v>
      </c>
      <c r="L625" s="4">
        <f t="shared" si="463"/>
        <v>0</v>
      </c>
      <c r="M625" s="4">
        <f t="shared" si="464"/>
        <v>0</v>
      </c>
      <c r="N625" s="4">
        <f t="shared" si="465"/>
        <v>0</v>
      </c>
      <c r="O625" s="5">
        <f t="shared" si="466"/>
        <v>38</v>
      </c>
      <c r="P625" s="6" t="str">
        <f t="shared" si="467"/>
        <v>31 TO 45 Days</v>
      </c>
      <c r="Q625" s="7">
        <v>42855</v>
      </c>
      <c r="R625" s="6" t="s">
        <v>2178</v>
      </c>
      <c r="S625" s="1">
        <v>110.98</v>
      </c>
      <c r="T625" s="1" t="s">
        <v>31</v>
      </c>
      <c r="V625" s="1" t="s">
        <v>13</v>
      </c>
      <c r="W625" s="2">
        <v>42818</v>
      </c>
      <c r="X625" s="1" t="s">
        <v>14</v>
      </c>
      <c r="Y625" s="1" t="str">
        <f>"4831171345"</f>
        <v>4831171345</v>
      </c>
    </row>
    <row r="626" spans="1:25" x14ac:dyDescent="0.2">
      <c r="A626" s="9" t="s">
        <v>1300</v>
      </c>
      <c r="B626" s="10">
        <v>42818</v>
      </c>
      <c r="C626" s="9" t="s">
        <v>1301</v>
      </c>
      <c r="D626" s="9" t="s">
        <v>666</v>
      </c>
      <c r="E626" s="9" t="s">
        <v>2190</v>
      </c>
      <c r="F626" s="9">
        <v>3377500</v>
      </c>
      <c r="G626" s="8">
        <v>7390</v>
      </c>
      <c r="H626" s="4">
        <f t="shared" si="459"/>
        <v>0</v>
      </c>
      <c r="I626" s="4">
        <f t="shared" si="460"/>
        <v>7390</v>
      </c>
      <c r="J626" s="4">
        <f t="shared" si="461"/>
        <v>0</v>
      </c>
      <c r="K626" s="4">
        <f t="shared" si="462"/>
        <v>0</v>
      </c>
      <c r="L626" s="4">
        <f t="shared" si="463"/>
        <v>0</v>
      </c>
      <c r="M626" s="4">
        <f t="shared" si="464"/>
        <v>0</v>
      </c>
      <c r="N626" s="4">
        <f t="shared" si="465"/>
        <v>0</v>
      </c>
      <c r="O626" s="5">
        <f t="shared" si="466"/>
        <v>37</v>
      </c>
      <c r="P626" s="6" t="str">
        <f t="shared" si="467"/>
        <v>31 TO 45 Days</v>
      </c>
      <c r="Q626" s="7">
        <v>42855</v>
      </c>
      <c r="R626" s="6" t="s">
        <v>2178</v>
      </c>
      <c r="S626" s="1">
        <v>110.98</v>
      </c>
      <c r="T626" s="1" t="s">
        <v>31</v>
      </c>
      <c r="V626" s="1" t="s">
        <v>13</v>
      </c>
      <c r="W626" s="2">
        <v>42819</v>
      </c>
      <c r="X626" s="1" t="s">
        <v>14</v>
      </c>
      <c r="Y626" s="1" t="s">
        <v>1302</v>
      </c>
    </row>
    <row r="627" spans="1:25" x14ac:dyDescent="0.2">
      <c r="A627" s="9" t="s">
        <v>1148</v>
      </c>
      <c r="B627" s="10">
        <v>42814</v>
      </c>
      <c r="C627" s="9" t="s">
        <v>1149</v>
      </c>
      <c r="D627" s="9" t="s">
        <v>666</v>
      </c>
      <c r="E627" s="9" t="s">
        <v>2190</v>
      </c>
      <c r="F627" s="9">
        <v>3377500</v>
      </c>
      <c r="G627" s="8">
        <v>7393</v>
      </c>
      <c r="H627" s="4">
        <f t="shared" si="459"/>
        <v>0</v>
      </c>
      <c r="I627" s="4">
        <f t="shared" si="460"/>
        <v>7393</v>
      </c>
      <c r="J627" s="4">
        <f t="shared" si="461"/>
        <v>0</v>
      </c>
      <c r="K627" s="4">
        <f t="shared" si="462"/>
        <v>0</v>
      </c>
      <c r="L627" s="4">
        <f t="shared" si="463"/>
        <v>0</v>
      </c>
      <c r="M627" s="4">
        <f t="shared" si="464"/>
        <v>0</v>
      </c>
      <c r="N627" s="4">
        <f t="shared" si="465"/>
        <v>0</v>
      </c>
      <c r="O627" s="5">
        <f t="shared" si="466"/>
        <v>41</v>
      </c>
      <c r="P627" s="6" t="str">
        <f t="shared" si="467"/>
        <v>31 TO 45 Days</v>
      </c>
      <c r="Q627" s="7">
        <v>42855</v>
      </c>
      <c r="R627" s="6" t="s">
        <v>2178</v>
      </c>
      <c r="S627" s="1">
        <v>110.98</v>
      </c>
      <c r="T627" s="1" t="s">
        <v>31</v>
      </c>
      <c r="V627" s="1" t="s">
        <v>13</v>
      </c>
      <c r="W627" s="2">
        <v>42814</v>
      </c>
      <c r="X627" s="1" t="s">
        <v>14</v>
      </c>
      <c r="Y627" s="1" t="str">
        <f>"415189031"</f>
        <v>415189031</v>
      </c>
    </row>
    <row r="628" spans="1:25" x14ac:dyDescent="0.2">
      <c r="A628" s="9" t="s">
        <v>1150</v>
      </c>
      <c r="B628" s="10">
        <v>42814</v>
      </c>
      <c r="C628" s="9" t="s">
        <v>1151</v>
      </c>
      <c r="D628" s="9" t="s">
        <v>666</v>
      </c>
      <c r="E628" s="9" t="s">
        <v>2190</v>
      </c>
      <c r="F628" s="9">
        <v>3377500</v>
      </c>
      <c r="G628" s="8">
        <v>7393</v>
      </c>
      <c r="H628" s="4">
        <f t="shared" si="459"/>
        <v>0</v>
      </c>
      <c r="I628" s="4">
        <f t="shared" si="460"/>
        <v>7393</v>
      </c>
      <c r="J628" s="4">
        <f t="shared" si="461"/>
        <v>0</v>
      </c>
      <c r="K628" s="4">
        <f t="shared" si="462"/>
        <v>0</v>
      </c>
      <c r="L628" s="4">
        <f t="shared" si="463"/>
        <v>0</v>
      </c>
      <c r="M628" s="4">
        <f t="shared" si="464"/>
        <v>0</v>
      </c>
      <c r="N628" s="4">
        <f t="shared" si="465"/>
        <v>0</v>
      </c>
      <c r="O628" s="5">
        <f t="shared" si="466"/>
        <v>41</v>
      </c>
      <c r="P628" s="6" t="str">
        <f t="shared" si="467"/>
        <v>31 TO 45 Days</v>
      </c>
      <c r="Q628" s="7">
        <v>42855</v>
      </c>
      <c r="R628" s="6" t="s">
        <v>2178</v>
      </c>
      <c r="S628" s="1">
        <v>110.98</v>
      </c>
      <c r="T628" s="1" t="s">
        <v>31</v>
      </c>
      <c r="V628" s="1" t="s">
        <v>13</v>
      </c>
      <c r="W628" s="2">
        <v>42814</v>
      </c>
      <c r="X628" s="1" t="s">
        <v>14</v>
      </c>
      <c r="Y628" s="1" t="str">
        <f>"410387448"</f>
        <v>410387448</v>
      </c>
    </row>
    <row r="629" spans="1:25" x14ac:dyDescent="0.2">
      <c r="A629" s="9" t="s">
        <v>2083</v>
      </c>
      <c r="B629" s="10">
        <v>42838</v>
      </c>
      <c r="C629" s="9" t="s">
        <v>2084</v>
      </c>
      <c r="D629" s="9" t="s">
        <v>666</v>
      </c>
      <c r="E629" s="9" t="s">
        <v>2190</v>
      </c>
      <c r="F629" s="9">
        <v>3377500</v>
      </c>
      <c r="G629" s="8">
        <v>7408</v>
      </c>
      <c r="H629" s="4">
        <f t="shared" si="459"/>
        <v>7408</v>
      </c>
      <c r="I629" s="4">
        <f t="shared" si="460"/>
        <v>0</v>
      </c>
      <c r="J629" s="4">
        <f t="shared" si="461"/>
        <v>0</v>
      </c>
      <c r="K629" s="4">
        <f t="shared" si="462"/>
        <v>0</v>
      </c>
      <c r="L629" s="4">
        <f t="shared" si="463"/>
        <v>0</v>
      </c>
      <c r="M629" s="4">
        <f t="shared" si="464"/>
        <v>0</v>
      </c>
      <c r="N629" s="4">
        <f t="shared" si="465"/>
        <v>0</v>
      </c>
      <c r="O629" s="5">
        <f t="shared" si="466"/>
        <v>17</v>
      </c>
      <c r="P629" s="6" t="str">
        <f t="shared" si="467"/>
        <v>30 Days</v>
      </c>
      <c r="Q629" s="7">
        <v>42855</v>
      </c>
      <c r="R629" s="6" t="str">
        <f>VLOOKUP(A629:A5090,[1]BOM_INV_OPERATOR_DETAILS_OUTPUT!$A$2:$D$1233,4,FALSE)</f>
        <v>AI</v>
      </c>
      <c r="S629" s="1">
        <v>112.91</v>
      </c>
      <c r="T629" s="1" t="s">
        <v>31</v>
      </c>
      <c r="V629" s="1" t="s">
        <v>13</v>
      </c>
      <c r="W629" s="2">
        <v>42838</v>
      </c>
      <c r="X629" s="1" t="s">
        <v>14</v>
      </c>
      <c r="Y629" s="1" t="s">
        <v>2085</v>
      </c>
    </row>
    <row r="630" spans="1:25" x14ac:dyDescent="0.2">
      <c r="A630" s="9" t="s">
        <v>1527</v>
      </c>
      <c r="B630" s="10">
        <v>42825</v>
      </c>
      <c r="C630" s="9" t="s">
        <v>1528</v>
      </c>
      <c r="D630" s="9" t="s">
        <v>140</v>
      </c>
      <c r="E630" s="9" t="s">
        <v>2190</v>
      </c>
      <c r="F630" s="9">
        <v>0</v>
      </c>
      <c r="G630" s="8">
        <v>7426</v>
      </c>
      <c r="H630" s="4">
        <f t="shared" si="459"/>
        <v>7426</v>
      </c>
      <c r="I630" s="4">
        <f t="shared" si="460"/>
        <v>0</v>
      </c>
      <c r="J630" s="4">
        <f t="shared" si="461"/>
        <v>0</v>
      </c>
      <c r="K630" s="4">
        <f t="shared" si="462"/>
        <v>0</v>
      </c>
      <c r="L630" s="4">
        <f t="shared" si="463"/>
        <v>0</v>
      </c>
      <c r="M630" s="4">
        <f t="shared" si="464"/>
        <v>0</v>
      </c>
      <c r="N630" s="4">
        <f t="shared" si="465"/>
        <v>0</v>
      </c>
      <c r="O630" s="5">
        <f t="shared" si="466"/>
        <v>30</v>
      </c>
      <c r="P630" s="6" t="str">
        <f t="shared" si="467"/>
        <v>30 Days</v>
      </c>
      <c r="Q630" s="7">
        <v>42855</v>
      </c>
      <c r="R630" s="6" t="s">
        <v>2178</v>
      </c>
      <c r="Y630" s="1" t="str">
        <f>"4400190125"</f>
        <v>4400190125</v>
      </c>
    </row>
    <row r="631" spans="1:25" x14ac:dyDescent="0.2">
      <c r="A631" s="9" t="s">
        <v>586</v>
      </c>
      <c r="B631" s="10">
        <v>42782</v>
      </c>
      <c r="C631" s="9" t="s">
        <v>587</v>
      </c>
      <c r="D631" s="9" t="s">
        <v>140</v>
      </c>
      <c r="E631" s="9" t="s">
        <v>2190</v>
      </c>
      <c r="F631" s="9">
        <v>0</v>
      </c>
      <c r="G631" s="8">
        <v>7434</v>
      </c>
      <c r="H631" s="4">
        <f t="shared" si="459"/>
        <v>0</v>
      </c>
      <c r="I631" s="4">
        <f t="shared" si="460"/>
        <v>0</v>
      </c>
      <c r="J631" s="4">
        <f t="shared" si="461"/>
        <v>0</v>
      </c>
      <c r="K631" s="4">
        <f t="shared" si="462"/>
        <v>7434</v>
      </c>
      <c r="L631" s="4">
        <f t="shared" si="463"/>
        <v>0</v>
      </c>
      <c r="M631" s="4">
        <f t="shared" si="464"/>
        <v>0</v>
      </c>
      <c r="N631" s="4">
        <f t="shared" si="465"/>
        <v>7434</v>
      </c>
      <c r="O631" s="5">
        <f t="shared" si="466"/>
        <v>73</v>
      </c>
      <c r="P631" s="6" t="str">
        <f t="shared" si="467"/>
        <v>61 To 90 Days</v>
      </c>
      <c r="Q631" s="7">
        <v>42855</v>
      </c>
      <c r="R631" s="6" t="s">
        <v>2178</v>
      </c>
      <c r="Y631" s="1" t="str">
        <f>"410290360"</f>
        <v>410290360</v>
      </c>
    </row>
    <row r="632" spans="1:25" x14ac:dyDescent="0.2">
      <c r="A632" s="9" t="s">
        <v>898</v>
      </c>
      <c r="B632" s="10">
        <v>42798</v>
      </c>
      <c r="C632" s="9" t="s">
        <v>899</v>
      </c>
      <c r="D632" s="9" t="s">
        <v>133</v>
      </c>
      <c r="E632" s="9" t="s">
        <v>2190</v>
      </c>
      <c r="F632" s="9">
        <v>20000000</v>
      </c>
      <c r="G632" s="8">
        <v>7446</v>
      </c>
      <c r="H632" s="4">
        <f t="shared" si="459"/>
        <v>0</v>
      </c>
      <c r="I632" s="4">
        <f t="shared" si="460"/>
        <v>0</v>
      </c>
      <c r="J632" s="4">
        <f t="shared" si="461"/>
        <v>7446</v>
      </c>
      <c r="K632" s="4">
        <f t="shared" si="462"/>
        <v>0</v>
      </c>
      <c r="L632" s="4">
        <f t="shared" si="463"/>
        <v>0</v>
      </c>
      <c r="M632" s="4">
        <f t="shared" si="464"/>
        <v>0</v>
      </c>
      <c r="N632" s="4">
        <f t="shared" si="465"/>
        <v>0</v>
      </c>
      <c r="O632" s="5">
        <f t="shared" si="466"/>
        <v>57</v>
      </c>
      <c r="P632" s="6" t="str">
        <f t="shared" si="467"/>
        <v>46 To 60 Days</v>
      </c>
      <c r="Q632" s="7">
        <v>42855</v>
      </c>
      <c r="R632" s="6" t="s">
        <v>2178</v>
      </c>
      <c r="V632" s="1" t="s">
        <v>13</v>
      </c>
      <c r="W632" s="2">
        <v>42800</v>
      </c>
      <c r="X632" s="1" t="s">
        <v>14</v>
      </c>
      <c r="Y632" s="1" t="str">
        <f>"4750387459"</f>
        <v>4750387459</v>
      </c>
    </row>
    <row r="633" spans="1:25" x14ac:dyDescent="0.2">
      <c r="A633" s="9" t="s">
        <v>1274</v>
      </c>
      <c r="B633" s="10">
        <v>42818</v>
      </c>
      <c r="C633" s="9" t="s">
        <v>1275</v>
      </c>
      <c r="D633" s="9" t="s">
        <v>144</v>
      </c>
      <c r="E633" s="9" t="s">
        <v>2190</v>
      </c>
      <c r="F633" s="9">
        <v>2300000</v>
      </c>
      <c r="G633" s="8">
        <v>7458</v>
      </c>
      <c r="H633" s="4">
        <f t="shared" si="459"/>
        <v>0</v>
      </c>
      <c r="I633" s="4">
        <f t="shared" si="460"/>
        <v>7458</v>
      </c>
      <c r="J633" s="4">
        <f t="shared" si="461"/>
        <v>0</v>
      </c>
      <c r="K633" s="4">
        <f t="shared" si="462"/>
        <v>0</v>
      </c>
      <c r="L633" s="4">
        <f t="shared" si="463"/>
        <v>0</v>
      </c>
      <c r="M633" s="4">
        <f t="shared" si="464"/>
        <v>0</v>
      </c>
      <c r="N633" s="4">
        <f t="shared" si="465"/>
        <v>0</v>
      </c>
      <c r="O633" s="5">
        <f t="shared" si="466"/>
        <v>37</v>
      </c>
      <c r="P633" s="6" t="str">
        <f t="shared" si="467"/>
        <v>31 TO 45 Days</v>
      </c>
      <c r="Q633" s="7">
        <v>42855</v>
      </c>
      <c r="R633" s="6" t="s">
        <v>2178</v>
      </c>
      <c r="Y633" s="1" t="str">
        <f>"4912898864"</f>
        <v>4912898864</v>
      </c>
    </row>
    <row r="634" spans="1:25" x14ac:dyDescent="0.2">
      <c r="A634" s="9" t="s">
        <v>456</v>
      </c>
      <c r="B634" s="10">
        <v>42768</v>
      </c>
      <c r="C634" s="9" t="s">
        <v>457</v>
      </c>
      <c r="D634" s="9" t="s">
        <v>133</v>
      </c>
      <c r="E634" s="9" t="s">
        <v>2190</v>
      </c>
      <c r="F634" s="9">
        <v>20000000</v>
      </c>
      <c r="G634" s="8">
        <v>7467</v>
      </c>
      <c r="H634" s="4">
        <f t="shared" si="459"/>
        <v>0</v>
      </c>
      <c r="I634" s="4">
        <f t="shared" si="460"/>
        <v>0</v>
      </c>
      <c r="J634" s="4">
        <f t="shared" si="461"/>
        <v>0</v>
      </c>
      <c r="K634" s="4">
        <f t="shared" si="462"/>
        <v>7467</v>
      </c>
      <c r="L634" s="4">
        <f t="shared" si="463"/>
        <v>0</v>
      </c>
      <c r="M634" s="4">
        <f t="shared" si="464"/>
        <v>0</v>
      </c>
      <c r="N634" s="4">
        <f t="shared" si="465"/>
        <v>7467</v>
      </c>
      <c r="O634" s="5">
        <f t="shared" si="466"/>
        <v>87</v>
      </c>
      <c r="P634" s="6" t="str">
        <f t="shared" si="467"/>
        <v>61 To 90 Days</v>
      </c>
      <c r="Q634" s="7">
        <v>42855</v>
      </c>
      <c r="R634" s="6" t="s">
        <v>2178</v>
      </c>
      <c r="V634" s="1" t="s">
        <v>13</v>
      </c>
      <c r="W634" s="2">
        <v>42768</v>
      </c>
      <c r="X634" s="1" t="s">
        <v>14</v>
      </c>
      <c r="Y634" s="1" t="str">
        <f>"4711225269"</f>
        <v>4711225269</v>
      </c>
    </row>
    <row r="635" spans="1:25" x14ac:dyDescent="0.2">
      <c r="A635" s="9" t="s">
        <v>829</v>
      </c>
      <c r="B635" s="10">
        <v>42795</v>
      </c>
      <c r="C635" s="9" t="s">
        <v>830</v>
      </c>
      <c r="D635" s="9" t="s">
        <v>148</v>
      </c>
      <c r="E635" s="9" t="s">
        <v>2190</v>
      </c>
      <c r="F635" s="9">
        <v>500000</v>
      </c>
      <c r="G635" s="8">
        <v>7476</v>
      </c>
      <c r="H635" s="4">
        <f t="shared" si="459"/>
        <v>0</v>
      </c>
      <c r="I635" s="4">
        <f t="shared" si="460"/>
        <v>0</v>
      </c>
      <c r="J635" s="4">
        <f t="shared" si="461"/>
        <v>7476</v>
      </c>
      <c r="K635" s="4">
        <f t="shared" si="462"/>
        <v>0</v>
      </c>
      <c r="L635" s="4">
        <f t="shared" si="463"/>
        <v>0</v>
      </c>
      <c r="M635" s="4">
        <f t="shared" si="464"/>
        <v>0</v>
      </c>
      <c r="N635" s="4">
        <f t="shared" si="465"/>
        <v>0</v>
      </c>
      <c r="O635" s="5">
        <f t="shared" si="466"/>
        <v>60</v>
      </c>
      <c r="P635" s="6" t="str">
        <f t="shared" si="467"/>
        <v>46 To 60 Days</v>
      </c>
      <c r="Q635" s="7">
        <v>42855</v>
      </c>
      <c r="R635" s="6" t="s">
        <v>2178</v>
      </c>
      <c r="Y635" s="1" t="str">
        <f>"4750387300"</f>
        <v>4750387300</v>
      </c>
    </row>
    <row r="636" spans="1:25" x14ac:dyDescent="0.2">
      <c r="A636" s="9" t="s">
        <v>1816</v>
      </c>
      <c r="B636" s="10">
        <v>42835</v>
      </c>
      <c r="C636" s="9" t="s">
        <v>1817</v>
      </c>
      <c r="D636" s="9" t="s">
        <v>28</v>
      </c>
      <c r="E636" s="9" t="s">
        <v>2190</v>
      </c>
      <c r="F636" s="9">
        <v>0</v>
      </c>
      <c r="G636" s="8">
        <v>7476</v>
      </c>
      <c r="H636" s="4">
        <f t="shared" si="459"/>
        <v>7476</v>
      </c>
      <c r="I636" s="4">
        <f t="shared" si="460"/>
        <v>0</v>
      </c>
      <c r="J636" s="4">
        <f t="shared" si="461"/>
        <v>0</v>
      </c>
      <c r="K636" s="4">
        <f t="shared" si="462"/>
        <v>0</v>
      </c>
      <c r="L636" s="4">
        <f t="shared" si="463"/>
        <v>0</v>
      </c>
      <c r="M636" s="4">
        <f t="shared" si="464"/>
        <v>0</v>
      </c>
      <c r="N636" s="4">
        <f t="shared" si="465"/>
        <v>0</v>
      </c>
      <c r="O636" s="5">
        <f t="shared" si="466"/>
        <v>20</v>
      </c>
      <c r="P636" s="6" t="str">
        <f t="shared" si="467"/>
        <v>30 Days</v>
      </c>
      <c r="Q636" s="7">
        <v>42855</v>
      </c>
      <c r="R636" s="6" t="str">
        <f>VLOOKUP(A636:A5109,[1]BOM_INV_OPERATOR_DETAILS_OUTPUT!$A$2:$D$1233,4,FALSE)</f>
        <v>AI</v>
      </c>
      <c r="Y636" s="1" t="str">
        <f>"419166724"</f>
        <v>419166724</v>
      </c>
    </row>
    <row r="637" spans="1:25" x14ac:dyDescent="0.2">
      <c r="A637" s="9" t="s">
        <v>1582</v>
      </c>
      <c r="B637" s="10">
        <v>42826</v>
      </c>
      <c r="C637" s="9" t="s">
        <v>1583</v>
      </c>
      <c r="D637" s="9" t="s">
        <v>36</v>
      </c>
      <c r="E637" s="9" t="s">
        <v>2190</v>
      </c>
      <c r="F637" s="9">
        <v>125000</v>
      </c>
      <c r="G637" s="8">
        <v>7497</v>
      </c>
      <c r="H637" s="4">
        <f t="shared" si="459"/>
        <v>7497</v>
      </c>
      <c r="I637" s="4">
        <f t="shared" si="460"/>
        <v>0</v>
      </c>
      <c r="J637" s="4">
        <f t="shared" si="461"/>
        <v>0</v>
      </c>
      <c r="K637" s="4">
        <f t="shared" si="462"/>
        <v>0</v>
      </c>
      <c r="L637" s="4">
        <f t="shared" si="463"/>
        <v>0</v>
      </c>
      <c r="M637" s="4">
        <f t="shared" si="464"/>
        <v>0</v>
      </c>
      <c r="N637" s="4">
        <f t="shared" si="465"/>
        <v>0</v>
      </c>
      <c r="O637" s="5">
        <f t="shared" si="466"/>
        <v>29</v>
      </c>
      <c r="P637" s="6" t="str">
        <f t="shared" si="467"/>
        <v>30 Days</v>
      </c>
      <c r="Q637" s="7">
        <v>42855</v>
      </c>
      <c r="R637" s="6" t="s">
        <v>2178</v>
      </c>
      <c r="Y637" s="1" t="str">
        <f>"4750389290"</f>
        <v>4750389290</v>
      </c>
    </row>
    <row r="638" spans="1:25" x14ac:dyDescent="0.2">
      <c r="A638" s="9" t="s">
        <v>1083</v>
      </c>
      <c r="B638" s="10">
        <v>42812</v>
      </c>
      <c r="C638" s="9" t="s">
        <v>1084</v>
      </c>
      <c r="D638" s="9" t="s">
        <v>36</v>
      </c>
      <c r="E638" s="9" t="s">
        <v>2190</v>
      </c>
      <c r="F638" s="9">
        <v>125000</v>
      </c>
      <c r="G638" s="8">
        <v>7505</v>
      </c>
      <c r="H638" s="4">
        <f t="shared" si="459"/>
        <v>0</v>
      </c>
      <c r="I638" s="4">
        <f t="shared" si="460"/>
        <v>7505</v>
      </c>
      <c r="J638" s="4">
        <f t="shared" si="461"/>
        <v>0</v>
      </c>
      <c r="K638" s="4">
        <f t="shared" si="462"/>
        <v>0</v>
      </c>
      <c r="L638" s="4">
        <f t="shared" si="463"/>
        <v>0</v>
      </c>
      <c r="M638" s="4">
        <f t="shared" si="464"/>
        <v>0</v>
      </c>
      <c r="N638" s="4">
        <f t="shared" si="465"/>
        <v>0</v>
      </c>
      <c r="O638" s="5">
        <f t="shared" si="466"/>
        <v>43</v>
      </c>
      <c r="P638" s="6" t="str">
        <f t="shared" si="467"/>
        <v>31 TO 45 Days</v>
      </c>
      <c r="Q638" s="7">
        <v>42855</v>
      </c>
      <c r="R638" s="6" t="s">
        <v>2178</v>
      </c>
      <c r="Y638" s="1" t="str">
        <f>"4750388224"</f>
        <v>4750388224</v>
      </c>
    </row>
    <row r="639" spans="1:25" x14ac:dyDescent="0.2">
      <c r="A639" s="9" t="s">
        <v>1085</v>
      </c>
      <c r="B639" s="10">
        <v>42812</v>
      </c>
      <c r="C639" s="9" t="s">
        <v>1086</v>
      </c>
      <c r="D639" s="9" t="s">
        <v>36</v>
      </c>
      <c r="E639" s="9" t="s">
        <v>2190</v>
      </c>
      <c r="F639" s="9">
        <v>125000</v>
      </c>
      <c r="G639" s="8">
        <v>7505</v>
      </c>
      <c r="H639" s="4">
        <f t="shared" si="459"/>
        <v>0</v>
      </c>
      <c r="I639" s="4">
        <f t="shared" si="460"/>
        <v>7505</v>
      </c>
      <c r="J639" s="4">
        <f t="shared" si="461"/>
        <v>0</v>
      </c>
      <c r="K639" s="4">
        <f t="shared" si="462"/>
        <v>0</v>
      </c>
      <c r="L639" s="4">
        <f t="shared" si="463"/>
        <v>0</v>
      </c>
      <c r="M639" s="4">
        <f t="shared" si="464"/>
        <v>0</v>
      </c>
      <c r="N639" s="4">
        <f t="shared" si="465"/>
        <v>0</v>
      </c>
      <c r="O639" s="5">
        <f t="shared" si="466"/>
        <v>43</v>
      </c>
      <c r="P639" s="6" t="str">
        <f t="shared" si="467"/>
        <v>31 TO 45 Days</v>
      </c>
      <c r="Q639" s="7">
        <v>42855</v>
      </c>
      <c r="R639" s="6" t="s">
        <v>2178</v>
      </c>
      <c r="Y639" s="1" t="str">
        <f>"4750388225"</f>
        <v>4750388225</v>
      </c>
    </row>
    <row r="640" spans="1:25" x14ac:dyDescent="0.2">
      <c r="A640" s="9" t="s">
        <v>1087</v>
      </c>
      <c r="B640" s="10">
        <v>42812</v>
      </c>
      <c r="C640" s="9" t="s">
        <v>1088</v>
      </c>
      <c r="D640" s="9" t="s">
        <v>36</v>
      </c>
      <c r="E640" s="9" t="s">
        <v>2190</v>
      </c>
      <c r="F640" s="9">
        <v>125000</v>
      </c>
      <c r="G640" s="8">
        <v>7505</v>
      </c>
      <c r="H640" s="4">
        <f t="shared" si="459"/>
        <v>0</v>
      </c>
      <c r="I640" s="4">
        <f t="shared" si="460"/>
        <v>7505</v>
      </c>
      <c r="J640" s="4">
        <f t="shared" si="461"/>
        <v>0</v>
      </c>
      <c r="K640" s="4">
        <f t="shared" si="462"/>
        <v>0</v>
      </c>
      <c r="L640" s="4">
        <f t="shared" si="463"/>
        <v>0</v>
      </c>
      <c r="M640" s="4">
        <f t="shared" si="464"/>
        <v>0</v>
      </c>
      <c r="N640" s="4">
        <f t="shared" si="465"/>
        <v>0</v>
      </c>
      <c r="O640" s="5">
        <f t="shared" si="466"/>
        <v>43</v>
      </c>
      <c r="P640" s="6" t="str">
        <f t="shared" si="467"/>
        <v>31 TO 45 Days</v>
      </c>
      <c r="Q640" s="7">
        <v>42855</v>
      </c>
      <c r="R640" s="6" t="s">
        <v>2178</v>
      </c>
      <c r="Y640" s="1" t="str">
        <f>"4750388399"</f>
        <v>4750388399</v>
      </c>
    </row>
    <row r="641" spans="1:25" x14ac:dyDescent="0.2">
      <c r="A641" s="9" t="s">
        <v>1089</v>
      </c>
      <c r="B641" s="10">
        <v>42812</v>
      </c>
      <c r="C641" s="9" t="s">
        <v>1090</v>
      </c>
      <c r="D641" s="9" t="s">
        <v>36</v>
      </c>
      <c r="E641" s="9" t="s">
        <v>2190</v>
      </c>
      <c r="F641" s="9">
        <v>125000</v>
      </c>
      <c r="G641" s="8">
        <v>7505</v>
      </c>
      <c r="H641" s="4">
        <f t="shared" si="459"/>
        <v>0</v>
      </c>
      <c r="I641" s="4">
        <f t="shared" si="460"/>
        <v>7505</v>
      </c>
      <c r="J641" s="4">
        <f t="shared" si="461"/>
        <v>0</v>
      </c>
      <c r="K641" s="4">
        <f t="shared" si="462"/>
        <v>0</v>
      </c>
      <c r="L641" s="4">
        <f t="shared" si="463"/>
        <v>0</v>
      </c>
      <c r="M641" s="4">
        <f t="shared" si="464"/>
        <v>0</v>
      </c>
      <c r="N641" s="4">
        <f t="shared" si="465"/>
        <v>0</v>
      </c>
      <c r="O641" s="5">
        <f t="shared" si="466"/>
        <v>43</v>
      </c>
      <c r="P641" s="6" t="str">
        <f t="shared" si="467"/>
        <v>31 TO 45 Days</v>
      </c>
      <c r="Q641" s="7">
        <v>42855</v>
      </c>
      <c r="R641" s="6" t="s">
        <v>2178</v>
      </c>
      <c r="Y641" s="1" t="str">
        <f>"4750388400"</f>
        <v>4750388400</v>
      </c>
    </row>
    <row r="642" spans="1:25" x14ac:dyDescent="0.2">
      <c r="A642" s="9" t="s">
        <v>781</v>
      </c>
      <c r="B642" s="10">
        <v>42794</v>
      </c>
      <c r="C642" s="9" t="s">
        <v>782</v>
      </c>
      <c r="D642" s="9" t="s">
        <v>133</v>
      </c>
      <c r="E642" s="9" t="s">
        <v>2190</v>
      </c>
      <c r="F642" s="9">
        <v>20000000</v>
      </c>
      <c r="G642" s="8">
        <v>7514</v>
      </c>
      <c r="H642" s="4">
        <f t="shared" si="459"/>
        <v>0</v>
      </c>
      <c r="I642" s="4">
        <f t="shared" si="460"/>
        <v>0</v>
      </c>
      <c r="J642" s="4">
        <f t="shared" si="461"/>
        <v>0</v>
      </c>
      <c r="K642" s="4">
        <f t="shared" si="462"/>
        <v>7514</v>
      </c>
      <c r="L642" s="4">
        <f t="shared" si="463"/>
        <v>0</v>
      </c>
      <c r="M642" s="4">
        <f t="shared" si="464"/>
        <v>0</v>
      </c>
      <c r="N642" s="4">
        <f t="shared" si="465"/>
        <v>7514</v>
      </c>
      <c r="O642" s="5">
        <f t="shared" si="466"/>
        <v>61</v>
      </c>
      <c r="P642" s="6" t="str">
        <f t="shared" si="467"/>
        <v>61 To 90 Days</v>
      </c>
      <c r="Q642" s="7">
        <v>42855</v>
      </c>
      <c r="R642" s="6" t="s">
        <v>2178</v>
      </c>
      <c r="V642" s="1" t="s">
        <v>13</v>
      </c>
      <c r="W642" s="2">
        <v>42796</v>
      </c>
      <c r="X642" s="1" t="s">
        <v>14</v>
      </c>
      <c r="Y642" s="1" t="str">
        <f>"4210171570"</f>
        <v>4210171570</v>
      </c>
    </row>
    <row r="643" spans="1:25" x14ac:dyDescent="0.2">
      <c r="A643" s="9" t="s">
        <v>698</v>
      </c>
      <c r="B643" s="10">
        <v>42791</v>
      </c>
      <c r="C643" s="9" t="s">
        <v>699</v>
      </c>
      <c r="D643" s="9" t="s">
        <v>133</v>
      </c>
      <c r="E643" s="9" t="s">
        <v>2190</v>
      </c>
      <c r="F643" s="9">
        <v>20000000</v>
      </c>
      <c r="G643" s="8">
        <v>7526</v>
      </c>
      <c r="H643" s="4">
        <f t="shared" si="459"/>
        <v>0</v>
      </c>
      <c r="I643" s="4">
        <f t="shared" si="460"/>
        <v>0</v>
      </c>
      <c r="J643" s="4">
        <f t="shared" si="461"/>
        <v>0</v>
      </c>
      <c r="K643" s="4">
        <f t="shared" si="462"/>
        <v>7526</v>
      </c>
      <c r="L643" s="4">
        <f t="shared" si="463"/>
        <v>0</v>
      </c>
      <c r="M643" s="4">
        <f t="shared" si="464"/>
        <v>0</v>
      </c>
      <c r="N643" s="4">
        <f t="shared" si="465"/>
        <v>7526</v>
      </c>
      <c r="O643" s="5">
        <f t="shared" si="466"/>
        <v>64</v>
      </c>
      <c r="P643" s="6" t="str">
        <f t="shared" si="467"/>
        <v>61 To 90 Days</v>
      </c>
      <c r="Q643" s="7">
        <v>42855</v>
      </c>
      <c r="R643" s="6" t="s">
        <v>2178</v>
      </c>
      <c r="V643" s="1" t="s">
        <v>13</v>
      </c>
      <c r="W643" s="2">
        <v>42796</v>
      </c>
      <c r="X643" s="1" t="s">
        <v>14</v>
      </c>
      <c r="Y643" s="1" t="str">
        <f>"4210171357"</f>
        <v>4210171357</v>
      </c>
    </row>
    <row r="644" spans="1:25" x14ac:dyDescent="0.2">
      <c r="A644" s="9" t="s">
        <v>702</v>
      </c>
      <c r="B644" s="10">
        <v>42791</v>
      </c>
      <c r="C644" s="9" t="s">
        <v>703</v>
      </c>
      <c r="D644" s="9" t="s">
        <v>133</v>
      </c>
      <c r="E644" s="9" t="s">
        <v>2190</v>
      </c>
      <c r="F644" s="9">
        <v>20000000</v>
      </c>
      <c r="G644" s="8">
        <v>7526</v>
      </c>
      <c r="H644" s="4">
        <f t="shared" si="459"/>
        <v>0</v>
      </c>
      <c r="I644" s="4">
        <f t="shared" si="460"/>
        <v>0</v>
      </c>
      <c r="J644" s="4">
        <f t="shared" si="461"/>
        <v>0</v>
      </c>
      <c r="K644" s="4">
        <f t="shared" si="462"/>
        <v>7526</v>
      </c>
      <c r="L644" s="4">
        <f t="shared" si="463"/>
        <v>0</v>
      </c>
      <c r="M644" s="4">
        <f t="shared" si="464"/>
        <v>0</v>
      </c>
      <c r="N644" s="4">
        <f t="shared" si="465"/>
        <v>7526</v>
      </c>
      <c r="O644" s="5">
        <f t="shared" si="466"/>
        <v>64</v>
      </c>
      <c r="P644" s="6" t="str">
        <f t="shared" si="467"/>
        <v>61 To 90 Days</v>
      </c>
      <c r="Q644" s="7">
        <v>42855</v>
      </c>
      <c r="R644" s="6" t="s">
        <v>2178</v>
      </c>
      <c r="V644" s="1" t="s">
        <v>13</v>
      </c>
      <c r="W644" s="2">
        <v>42796</v>
      </c>
      <c r="X644" s="1" t="s">
        <v>14</v>
      </c>
      <c r="Y644" s="1" t="str">
        <f>"4210171402"</f>
        <v>4210171402</v>
      </c>
    </row>
    <row r="645" spans="1:25" x14ac:dyDescent="0.2">
      <c r="A645" s="9" t="s">
        <v>987</v>
      </c>
      <c r="B645" s="10">
        <v>42808</v>
      </c>
      <c r="C645" s="9" t="s">
        <v>988</v>
      </c>
      <c r="D645" s="9" t="s">
        <v>986</v>
      </c>
      <c r="E645" s="9" t="s">
        <v>2190</v>
      </c>
      <c r="F645" s="9">
        <v>0</v>
      </c>
      <c r="G645" s="8">
        <v>7528</v>
      </c>
      <c r="H645" s="4">
        <f t="shared" si="459"/>
        <v>0</v>
      </c>
      <c r="I645" s="4">
        <f t="shared" si="460"/>
        <v>0</v>
      </c>
      <c r="J645" s="4">
        <f t="shared" si="461"/>
        <v>7528</v>
      </c>
      <c r="K645" s="4">
        <f t="shared" si="462"/>
        <v>0</v>
      </c>
      <c r="L645" s="4">
        <f t="shared" si="463"/>
        <v>0</v>
      </c>
      <c r="M645" s="4">
        <f t="shared" si="464"/>
        <v>0</v>
      </c>
      <c r="N645" s="4">
        <f t="shared" si="465"/>
        <v>0</v>
      </c>
      <c r="O645" s="5">
        <f t="shared" si="466"/>
        <v>47</v>
      </c>
      <c r="P645" s="6" t="str">
        <f t="shared" si="467"/>
        <v>46 To 60 Days</v>
      </c>
      <c r="Q645" s="7">
        <v>42855</v>
      </c>
      <c r="R645" s="6" t="s">
        <v>2178</v>
      </c>
      <c r="Y645" s="1" t="str">
        <f>"4480469015"</f>
        <v>4480469015</v>
      </c>
    </row>
    <row r="646" spans="1:25" x14ac:dyDescent="0.2">
      <c r="A646" s="9" t="s">
        <v>692</v>
      </c>
      <c r="B646" s="10">
        <v>42790</v>
      </c>
      <c r="C646" s="9" t="s">
        <v>693</v>
      </c>
      <c r="D646" s="9" t="s">
        <v>140</v>
      </c>
      <c r="E646" s="9" t="s">
        <v>2190</v>
      </c>
      <c r="F646" s="9">
        <v>0</v>
      </c>
      <c r="G646" s="8">
        <v>7536</v>
      </c>
      <c r="H646" s="4">
        <f t="shared" si="459"/>
        <v>0</v>
      </c>
      <c r="I646" s="4">
        <f t="shared" si="460"/>
        <v>0</v>
      </c>
      <c r="J646" s="4">
        <f t="shared" si="461"/>
        <v>0</v>
      </c>
      <c r="K646" s="4">
        <f t="shared" si="462"/>
        <v>7536</v>
      </c>
      <c r="L646" s="4">
        <f t="shared" si="463"/>
        <v>0</v>
      </c>
      <c r="M646" s="4">
        <f t="shared" si="464"/>
        <v>0</v>
      </c>
      <c r="N646" s="4">
        <f t="shared" si="465"/>
        <v>7536</v>
      </c>
      <c r="O646" s="5">
        <f t="shared" si="466"/>
        <v>65</v>
      </c>
      <c r="P646" s="6" t="str">
        <f t="shared" si="467"/>
        <v>61 To 90 Days</v>
      </c>
      <c r="Q646" s="7">
        <v>42855</v>
      </c>
      <c r="R646" s="6" t="s">
        <v>2178</v>
      </c>
      <c r="Y646" s="1" t="str">
        <f>"4400188289"</f>
        <v>4400188289</v>
      </c>
    </row>
    <row r="647" spans="1:25" x14ac:dyDescent="0.2">
      <c r="A647" s="9" t="s">
        <v>256</v>
      </c>
      <c r="B647" s="10">
        <v>42738</v>
      </c>
      <c r="C647" s="9" t="s">
        <v>257</v>
      </c>
      <c r="D647" s="9" t="s">
        <v>133</v>
      </c>
      <c r="E647" s="9" t="s">
        <v>2190</v>
      </c>
      <c r="F647" s="9">
        <v>20000000</v>
      </c>
      <c r="G647" s="8">
        <v>7538</v>
      </c>
      <c r="H647" s="4">
        <f t="shared" si="459"/>
        <v>0</v>
      </c>
      <c r="I647" s="4">
        <f t="shared" si="460"/>
        <v>0</v>
      </c>
      <c r="J647" s="4">
        <f t="shared" si="461"/>
        <v>0</v>
      </c>
      <c r="K647" s="4">
        <f t="shared" si="462"/>
        <v>0</v>
      </c>
      <c r="L647" s="4">
        <f t="shared" si="463"/>
        <v>7538</v>
      </c>
      <c r="M647" s="4">
        <f t="shared" si="464"/>
        <v>0</v>
      </c>
      <c r="N647" s="4">
        <f t="shared" si="465"/>
        <v>7538</v>
      </c>
      <c r="O647" s="5">
        <f t="shared" si="466"/>
        <v>117</v>
      </c>
      <c r="P647" s="6" t="str">
        <f t="shared" si="467"/>
        <v>91 To 120 Days</v>
      </c>
      <c r="Q647" s="7">
        <v>42855</v>
      </c>
      <c r="R647" s="6" t="s">
        <v>2178</v>
      </c>
      <c r="V647" s="1" t="s">
        <v>13</v>
      </c>
      <c r="Y647" s="1" t="str">
        <f>"4210170555"</f>
        <v>4210170555</v>
      </c>
    </row>
    <row r="648" spans="1:25" x14ac:dyDescent="0.2">
      <c r="A648" s="9" t="s">
        <v>1379</v>
      </c>
      <c r="B648" s="10">
        <v>42822</v>
      </c>
      <c r="C648" s="9" t="s">
        <v>1380</v>
      </c>
      <c r="D648" s="9" t="s">
        <v>36</v>
      </c>
      <c r="E648" s="9" t="s">
        <v>2190</v>
      </c>
      <c r="F648" s="9">
        <v>125000</v>
      </c>
      <c r="G648" s="8">
        <v>7539</v>
      </c>
      <c r="H648" s="4">
        <f t="shared" ref="H648:H672" si="468">IF(O648&lt;=30,G648,0)</f>
        <v>0</v>
      </c>
      <c r="I648" s="4">
        <f t="shared" ref="I648:I672" si="469">IF(AND(O648&gt;30,O648&lt;=45),G648,0)</f>
        <v>7539</v>
      </c>
      <c r="J648" s="4">
        <f t="shared" ref="J648:J672" si="470">IF(AND(O648&gt;45,O648&lt;=60),G648,0)</f>
        <v>0</v>
      </c>
      <c r="K648" s="4">
        <f t="shared" ref="K648:K672" si="471">IF(AND(O648&gt;60,O648&lt;=90),G648,0)</f>
        <v>0</v>
      </c>
      <c r="L648" s="4">
        <f t="shared" ref="L648:L672" si="472">IF(AND(O648&gt;90,O648&lt;=120),G648,0)</f>
        <v>0</v>
      </c>
      <c r="M648" s="4">
        <f t="shared" ref="M648:M672" si="473">IF(O648&gt;120,G648,0)</f>
        <v>0</v>
      </c>
      <c r="N648" s="4">
        <f t="shared" ref="N648:N672" si="474">IF(O648&gt;60,G648,0)</f>
        <v>0</v>
      </c>
      <c r="O648" s="5">
        <f t="shared" ref="O648:O672" si="475">Q648-B648</f>
        <v>33</v>
      </c>
      <c r="P648" s="6" t="str">
        <f t="shared" ref="P648:P672" si="476">IF(AND(O648&lt;=30),"30 Days",IF(AND(O648&gt;30,O648&lt;=45),"31 TO 45 Days",IF(AND(O648&gt;45,O648&lt;=60),"46 To 60 Days",IF(AND(O648&gt;60,O648&lt;=90),"61 To 90 Days",IF(AND(O648&gt;90,O648&lt;=120),"91 To 120 Days",IF(AND(O648&gt;120),"Plus120Days",))))))</f>
        <v>31 TO 45 Days</v>
      </c>
      <c r="Q648" s="7">
        <v>42855</v>
      </c>
      <c r="R648" s="6" t="s">
        <v>2178</v>
      </c>
      <c r="Y648" s="1" t="str">
        <f>"4750388966"</f>
        <v>4750388966</v>
      </c>
    </row>
    <row r="649" spans="1:25" x14ac:dyDescent="0.2">
      <c r="A649" s="9" t="s">
        <v>1381</v>
      </c>
      <c r="B649" s="10">
        <v>42822</v>
      </c>
      <c r="C649" s="9" t="s">
        <v>1382</v>
      </c>
      <c r="D649" s="9" t="s">
        <v>36</v>
      </c>
      <c r="E649" s="9" t="s">
        <v>2190</v>
      </c>
      <c r="F649" s="9">
        <v>125000</v>
      </c>
      <c r="G649" s="8">
        <v>7539</v>
      </c>
      <c r="H649" s="4">
        <f t="shared" si="468"/>
        <v>0</v>
      </c>
      <c r="I649" s="4">
        <f t="shared" si="469"/>
        <v>7539</v>
      </c>
      <c r="J649" s="4">
        <f t="shared" si="470"/>
        <v>0</v>
      </c>
      <c r="K649" s="4">
        <f t="shared" si="471"/>
        <v>0</v>
      </c>
      <c r="L649" s="4">
        <f t="shared" si="472"/>
        <v>0</v>
      </c>
      <c r="M649" s="4">
        <f t="shared" si="473"/>
        <v>0</v>
      </c>
      <c r="N649" s="4">
        <f t="shared" si="474"/>
        <v>0</v>
      </c>
      <c r="O649" s="5">
        <f t="shared" si="475"/>
        <v>33</v>
      </c>
      <c r="P649" s="6" t="str">
        <f t="shared" si="476"/>
        <v>31 TO 45 Days</v>
      </c>
      <c r="Q649" s="7">
        <v>42855</v>
      </c>
      <c r="R649" s="6" t="s">
        <v>2178</v>
      </c>
      <c r="Y649" s="1" t="str">
        <f>"4750388967"</f>
        <v>4750388967</v>
      </c>
    </row>
    <row r="650" spans="1:25" x14ac:dyDescent="0.2">
      <c r="A650" s="9" t="s">
        <v>202</v>
      </c>
      <c r="B650" s="10">
        <v>42728</v>
      </c>
      <c r="C650" s="9" t="s">
        <v>203</v>
      </c>
      <c r="D650" s="9" t="s">
        <v>133</v>
      </c>
      <c r="E650" s="9" t="s">
        <v>2190</v>
      </c>
      <c r="F650" s="9">
        <v>20000000</v>
      </c>
      <c r="G650" s="8">
        <v>7546</v>
      </c>
      <c r="H650" s="4">
        <f t="shared" si="468"/>
        <v>0</v>
      </c>
      <c r="I650" s="4">
        <f t="shared" si="469"/>
        <v>0</v>
      </c>
      <c r="J650" s="4">
        <f t="shared" si="470"/>
        <v>0</v>
      </c>
      <c r="K650" s="4">
        <f t="shared" si="471"/>
        <v>0</v>
      </c>
      <c r="L650" s="4">
        <f t="shared" si="472"/>
        <v>0</v>
      </c>
      <c r="M650" s="4">
        <f t="shared" si="473"/>
        <v>7546</v>
      </c>
      <c r="N650" s="4">
        <f t="shared" si="474"/>
        <v>7546</v>
      </c>
      <c r="O650" s="5">
        <f t="shared" si="475"/>
        <v>127</v>
      </c>
      <c r="P650" s="6" t="str">
        <f t="shared" si="476"/>
        <v>Plus120Days</v>
      </c>
      <c r="Q650" s="7">
        <v>42855</v>
      </c>
      <c r="R650" s="6" t="s">
        <v>2178</v>
      </c>
      <c r="V650" s="1" t="s">
        <v>13</v>
      </c>
      <c r="Y650" s="1" t="str">
        <f>"4750383009"</f>
        <v>4750383009</v>
      </c>
    </row>
    <row r="651" spans="1:25" x14ac:dyDescent="0.2">
      <c r="A651" s="9" t="s">
        <v>218</v>
      </c>
      <c r="B651" s="10">
        <v>42732</v>
      </c>
      <c r="C651" s="9" t="s">
        <v>219</v>
      </c>
      <c r="D651" s="9" t="s">
        <v>133</v>
      </c>
      <c r="E651" s="9" t="s">
        <v>2190</v>
      </c>
      <c r="F651" s="9">
        <v>20000000</v>
      </c>
      <c r="G651" s="8">
        <v>7548</v>
      </c>
      <c r="H651" s="4">
        <f t="shared" si="468"/>
        <v>0</v>
      </c>
      <c r="I651" s="4">
        <f t="shared" si="469"/>
        <v>0</v>
      </c>
      <c r="J651" s="4">
        <f t="shared" si="470"/>
        <v>0</v>
      </c>
      <c r="K651" s="4">
        <f t="shared" si="471"/>
        <v>0</v>
      </c>
      <c r="L651" s="4">
        <f t="shared" si="472"/>
        <v>0</v>
      </c>
      <c r="M651" s="4">
        <f t="shared" si="473"/>
        <v>7548</v>
      </c>
      <c r="N651" s="4">
        <f t="shared" si="474"/>
        <v>7548</v>
      </c>
      <c r="O651" s="5">
        <f t="shared" si="475"/>
        <v>123</v>
      </c>
      <c r="P651" s="6" t="str">
        <f t="shared" si="476"/>
        <v>Plus120Days</v>
      </c>
      <c r="Q651" s="7">
        <v>42855</v>
      </c>
      <c r="R651" s="6" t="s">
        <v>2178</v>
      </c>
      <c r="V651" s="1" t="s">
        <v>13</v>
      </c>
      <c r="Y651" s="1" t="str">
        <f>"4210170434"</f>
        <v>4210170434</v>
      </c>
    </row>
    <row r="652" spans="1:25" x14ac:dyDescent="0.2">
      <c r="A652" s="9" t="s">
        <v>673</v>
      </c>
      <c r="B652" s="10">
        <v>42789</v>
      </c>
      <c r="C652" s="9" t="s">
        <v>674</v>
      </c>
      <c r="D652" s="9" t="s">
        <v>666</v>
      </c>
      <c r="E652" s="9" t="s">
        <v>2190</v>
      </c>
      <c r="F652" s="9">
        <v>3377500</v>
      </c>
      <c r="G652" s="8">
        <v>7557</v>
      </c>
      <c r="H652" s="4">
        <f t="shared" si="468"/>
        <v>0</v>
      </c>
      <c r="I652" s="4">
        <f t="shared" si="469"/>
        <v>0</v>
      </c>
      <c r="J652" s="4">
        <f t="shared" si="470"/>
        <v>0</v>
      </c>
      <c r="K652" s="4">
        <f t="shared" si="471"/>
        <v>7557</v>
      </c>
      <c r="L652" s="4">
        <f t="shared" si="472"/>
        <v>0</v>
      </c>
      <c r="M652" s="4">
        <f t="shared" si="473"/>
        <v>0</v>
      </c>
      <c r="N652" s="4">
        <f t="shared" si="474"/>
        <v>7557</v>
      </c>
      <c r="O652" s="5">
        <f t="shared" si="475"/>
        <v>66</v>
      </c>
      <c r="P652" s="6" t="str">
        <f t="shared" si="476"/>
        <v>61 To 90 Days</v>
      </c>
      <c r="Q652" s="7">
        <v>42855</v>
      </c>
      <c r="R652" s="6" t="s">
        <v>2178</v>
      </c>
      <c r="S652" s="1">
        <v>110.98</v>
      </c>
      <c r="T652" s="1" t="s">
        <v>31</v>
      </c>
      <c r="V652" s="1" t="s">
        <v>13</v>
      </c>
      <c r="W652" s="2">
        <v>42790</v>
      </c>
      <c r="X652" s="1" t="s">
        <v>14</v>
      </c>
      <c r="Y652" s="1" t="str">
        <f>"417747765"</f>
        <v>417747765</v>
      </c>
    </row>
    <row r="653" spans="1:25" x14ac:dyDescent="0.2">
      <c r="A653" s="9" t="s">
        <v>476</v>
      </c>
      <c r="B653" s="10">
        <v>42770</v>
      </c>
      <c r="C653" s="9" t="s">
        <v>477</v>
      </c>
      <c r="D653" s="9" t="s">
        <v>133</v>
      </c>
      <c r="E653" s="9" t="s">
        <v>2190</v>
      </c>
      <c r="F653" s="9">
        <v>20000000</v>
      </c>
      <c r="G653" s="8">
        <v>7574</v>
      </c>
      <c r="H653" s="4">
        <f t="shared" si="468"/>
        <v>0</v>
      </c>
      <c r="I653" s="4">
        <f t="shared" si="469"/>
        <v>0</v>
      </c>
      <c r="J653" s="4">
        <f t="shared" si="470"/>
        <v>0</v>
      </c>
      <c r="K653" s="4">
        <f t="shared" si="471"/>
        <v>7574</v>
      </c>
      <c r="L653" s="4">
        <f t="shared" si="472"/>
        <v>0</v>
      </c>
      <c r="M653" s="4">
        <f t="shared" si="473"/>
        <v>0</v>
      </c>
      <c r="N653" s="4">
        <f t="shared" si="474"/>
        <v>7574</v>
      </c>
      <c r="O653" s="5">
        <f t="shared" si="475"/>
        <v>85</v>
      </c>
      <c r="P653" s="6" t="str">
        <f t="shared" si="476"/>
        <v>61 To 90 Days</v>
      </c>
      <c r="Q653" s="7">
        <v>42855</v>
      </c>
      <c r="R653" s="6" t="s">
        <v>2178</v>
      </c>
      <c r="V653" s="1" t="s">
        <v>13</v>
      </c>
      <c r="W653" s="2">
        <v>42772</v>
      </c>
      <c r="X653" s="1" t="s">
        <v>14</v>
      </c>
      <c r="Y653" s="1" t="str">
        <f>"4210171104"</f>
        <v>4210171104</v>
      </c>
    </row>
    <row r="654" spans="1:25" x14ac:dyDescent="0.2">
      <c r="A654" s="9" t="s">
        <v>617</v>
      </c>
      <c r="B654" s="10">
        <v>42784</v>
      </c>
      <c r="C654" s="9" t="s">
        <v>618</v>
      </c>
      <c r="D654" s="9" t="s">
        <v>148</v>
      </c>
      <c r="E654" s="9" t="s">
        <v>2190</v>
      </c>
      <c r="F654" s="9">
        <v>500000</v>
      </c>
      <c r="G654" s="8">
        <v>7583</v>
      </c>
      <c r="H654" s="4">
        <f t="shared" si="468"/>
        <v>0</v>
      </c>
      <c r="I654" s="4">
        <f t="shared" si="469"/>
        <v>0</v>
      </c>
      <c r="J654" s="4">
        <f t="shared" si="470"/>
        <v>0</v>
      </c>
      <c r="K654" s="4">
        <f t="shared" si="471"/>
        <v>7583</v>
      </c>
      <c r="L654" s="4">
        <f t="shared" si="472"/>
        <v>0</v>
      </c>
      <c r="M654" s="4">
        <f t="shared" si="473"/>
        <v>0</v>
      </c>
      <c r="N654" s="4">
        <f t="shared" si="474"/>
        <v>7583</v>
      </c>
      <c r="O654" s="5">
        <f t="shared" si="475"/>
        <v>71</v>
      </c>
      <c r="P654" s="6" t="str">
        <f t="shared" si="476"/>
        <v>61 To 90 Days</v>
      </c>
      <c r="Q654" s="7">
        <v>42855</v>
      </c>
      <c r="R654" s="6" t="s">
        <v>2178</v>
      </c>
      <c r="Y654" s="1" t="str">
        <f>"4750385748"</f>
        <v>4750385748</v>
      </c>
    </row>
    <row r="655" spans="1:25" x14ac:dyDescent="0.2">
      <c r="A655" s="9" t="s">
        <v>638</v>
      </c>
      <c r="B655" s="10">
        <v>42787</v>
      </c>
      <c r="C655" s="9" t="s">
        <v>639</v>
      </c>
      <c r="D655" s="9" t="s">
        <v>270</v>
      </c>
      <c r="E655" s="9" t="s">
        <v>2190</v>
      </c>
      <c r="F655" s="9">
        <v>0</v>
      </c>
      <c r="G655" s="8">
        <v>7584</v>
      </c>
      <c r="H655" s="4">
        <f t="shared" si="468"/>
        <v>0</v>
      </c>
      <c r="I655" s="4">
        <f t="shared" si="469"/>
        <v>0</v>
      </c>
      <c r="J655" s="4">
        <f t="shared" si="470"/>
        <v>0</v>
      </c>
      <c r="K655" s="4">
        <f t="shared" si="471"/>
        <v>7584</v>
      </c>
      <c r="L655" s="4">
        <f t="shared" si="472"/>
        <v>0</v>
      </c>
      <c r="M655" s="4">
        <f t="shared" si="473"/>
        <v>0</v>
      </c>
      <c r="N655" s="4">
        <f t="shared" si="474"/>
        <v>7584</v>
      </c>
      <c r="O655" s="5">
        <f t="shared" si="475"/>
        <v>68</v>
      </c>
      <c r="P655" s="6" t="str">
        <f t="shared" si="476"/>
        <v>61 To 90 Days</v>
      </c>
      <c r="Q655" s="7">
        <v>42855</v>
      </c>
      <c r="R655" s="6" t="s">
        <v>2178</v>
      </c>
      <c r="Y655" s="1" t="str">
        <f>"4560217534"</f>
        <v>4560217534</v>
      </c>
    </row>
    <row r="656" spans="1:25" x14ac:dyDescent="0.2">
      <c r="A656" s="9" t="s">
        <v>772</v>
      </c>
      <c r="B656" s="10">
        <v>42793</v>
      </c>
      <c r="C656" s="9" t="s">
        <v>773</v>
      </c>
      <c r="D656" s="9" t="s">
        <v>270</v>
      </c>
      <c r="E656" s="9" t="s">
        <v>2190</v>
      </c>
      <c r="F656" s="9">
        <v>0</v>
      </c>
      <c r="G656" s="8">
        <v>7584</v>
      </c>
      <c r="H656" s="4">
        <f t="shared" si="468"/>
        <v>0</v>
      </c>
      <c r="I656" s="4">
        <f t="shared" si="469"/>
        <v>0</v>
      </c>
      <c r="J656" s="4">
        <f t="shared" si="470"/>
        <v>0</v>
      </c>
      <c r="K656" s="4">
        <f t="shared" si="471"/>
        <v>7584</v>
      </c>
      <c r="L656" s="4">
        <f t="shared" si="472"/>
        <v>0</v>
      </c>
      <c r="M656" s="4">
        <f t="shared" si="473"/>
        <v>0</v>
      </c>
      <c r="N656" s="4">
        <f t="shared" si="474"/>
        <v>7584</v>
      </c>
      <c r="O656" s="5">
        <f t="shared" si="475"/>
        <v>62</v>
      </c>
      <c r="P656" s="6" t="str">
        <f t="shared" si="476"/>
        <v>61 To 90 Days</v>
      </c>
      <c r="Q656" s="7">
        <v>42855</v>
      </c>
      <c r="R656" s="6" t="s">
        <v>2178</v>
      </c>
      <c r="Y656" s="1" t="str">
        <f>"4560217788"</f>
        <v>4560217788</v>
      </c>
    </row>
    <row r="657" spans="1:25" x14ac:dyDescent="0.2">
      <c r="A657" s="9" t="s">
        <v>969</v>
      </c>
      <c r="B657" s="10">
        <v>42804</v>
      </c>
      <c r="C657" s="9" t="s">
        <v>970</v>
      </c>
      <c r="D657" s="9" t="s">
        <v>158</v>
      </c>
      <c r="E657" s="9" t="s">
        <v>2190</v>
      </c>
      <c r="F657" s="9">
        <v>0</v>
      </c>
      <c r="G657" s="8">
        <v>7585</v>
      </c>
      <c r="H657" s="4">
        <f t="shared" si="468"/>
        <v>0</v>
      </c>
      <c r="I657" s="4">
        <f t="shared" si="469"/>
        <v>0</v>
      </c>
      <c r="J657" s="4">
        <f t="shared" si="470"/>
        <v>7585</v>
      </c>
      <c r="K657" s="4">
        <f t="shared" si="471"/>
        <v>0</v>
      </c>
      <c r="L657" s="4">
        <f t="shared" si="472"/>
        <v>0</v>
      </c>
      <c r="M657" s="4">
        <f t="shared" si="473"/>
        <v>0</v>
      </c>
      <c r="N657" s="4">
        <f t="shared" si="474"/>
        <v>0</v>
      </c>
      <c r="O657" s="5">
        <f t="shared" si="475"/>
        <v>51</v>
      </c>
      <c r="P657" s="6" t="str">
        <f t="shared" si="476"/>
        <v>46 To 60 Days</v>
      </c>
      <c r="Q657" s="7">
        <v>42855</v>
      </c>
      <c r="R657" s="6" t="s">
        <v>2178</v>
      </c>
      <c r="Y657" s="1" t="str">
        <f>"4711233960"</f>
        <v>4711233960</v>
      </c>
    </row>
    <row r="658" spans="1:25" x14ac:dyDescent="0.2">
      <c r="A658" s="9" t="s">
        <v>853</v>
      </c>
      <c r="B658" s="10">
        <v>42795</v>
      </c>
      <c r="C658" s="9" t="s">
        <v>854</v>
      </c>
      <c r="D658" s="9" t="s">
        <v>38</v>
      </c>
      <c r="E658" s="9" t="s">
        <v>2190</v>
      </c>
      <c r="F658" s="9">
        <v>700000</v>
      </c>
      <c r="G658" s="8">
        <v>7586</v>
      </c>
      <c r="H658" s="4">
        <f t="shared" si="468"/>
        <v>0</v>
      </c>
      <c r="I658" s="4">
        <f t="shared" si="469"/>
        <v>0</v>
      </c>
      <c r="J658" s="4">
        <f t="shared" si="470"/>
        <v>7586</v>
      </c>
      <c r="K658" s="4">
        <f t="shared" si="471"/>
        <v>0</v>
      </c>
      <c r="L658" s="4">
        <f t="shared" si="472"/>
        <v>0</v>
      </c>
      <c r="M658" s="4">
        <f t="shared" si="473"/>
        <v>0</v>
      </c>
      <c r="N658" s="4">
        <f t="shared" si="474"/>
        <v>0</v>
      </c>
      <c r="O658" s="5">
        <f t="shared" si="475"/>
        <v>60</v>
      </c>
      <c r="P658" s="6" t="str">
        <f t="shared" si="476"/>
        <v>46 To 60 Days</v>
      </c>
      <c r="Q658" s="7">
        <v>42855</v>
      </c>
      <c r="R658" s="6" t="s">
        <v>2178</v>
      </c>
      <c r="Y658" s="1" t="str">
        <f>"417268072"</f>
        <v>417268072</v>
      </c>
    </row>
    <row r="659" spans="1:25" x14ac:dyDescent="0.2">
      <c r="A659" s="9" t="s">
        <v>479</v>
      </c>
      <c r="B659" s="10">
        <v>42772</v>
      </c>
      <c r="C659" s="9" t="s">
        <v>351</v>
      </c>
      <c r="D659" s="9" t="s">
        <v>152</v>
      </c>
      <c r="E659" s="9" t="s">
        <v>2190</v>
      </c>
      <c r="F659" s="9">
        <v>300000</v>
      </c>
      <c r="G659" s="8">
        <v>7589</v>
      </c>
      <c r="H659" s="4">
        <f t="shared" si="468"/>
        <v>0</v>
      </c>
      <c r="I659" s="4">
        <f t="shared" si="469"/>
        <v>0</v>
      </c>
      <c r="J659" s="4">
        <f t="shared" si="470"/>
        <v>0</v>
      </c>
      <c r="K659" s="4">
        <f t="shared" si="471"/>
        <v>7589</v>
      </c>
      <c r="L659" s="4">
        <f t="shared" si="472"/>
        <v>0</v>
      </c>
      <c r="M659" s="4">
        <f t="shared" si="473"/>
        <v>0</v>
      </c>
      <c r="N659" s="4">
        <f t="shared" si="474"/>
        <v>7589</v>
      </c>
      <c r="O659" s="5">
        <f t="shared" si="475"/>
        <v>83</v>
      </c>
      <c r="P659" s="6" t="str">
        <f t="shared" si="476"/>
        <v>61 To 90 Days</v>
      </c>
      <c r="Q659" s="7">
        <v>42855</v>
      </c>
      <c r="R659" s="6" t="s">
        <v>2178</v>
      </c>
      <c r="Y659" s="1" t="str">
        <f>"4041690217"</f>
        <v>4041690217</v>
      </c>
    </row>
    <row r="660" spans="1:25" x14ac:dyDescent="0.2">
      <c r="A660" s="9" t="s">
        <v>1837</v>
      </c>
      <c r="B660" s="10">
        <v>42835</v>
      </c>
      <c r="C660" s="9" t="s">
        <v>1838</v>
      </c>
      <c r="D660" s="9" t="s">
        <v>1836</v>
      </c>
      <c r="E660" s="9" t="s">
        <v>2190</v>
      </c>
      <c r="F660" s="9" t="e">
        <v>#N/A</v>
      </c>
      <c r="G660" s="8">
        <v>7599</v>
      </c>
      <c r="H660" s="4">
        <f t="shared" si="468"/>
        <v>7599</v>
      </c>
      <c r="I660" s="4">
        <f t="shared" si="469"/>
        <v>0</v>
      </c>
      <c r="J660" s="4">
        <f t="shared" si="470"/>
        <v>0</v>
      </c>
      <c r="K660" s="4">
        <f t="shared" si="471"/>
        <v>0</v>
      </c>
      <c r="L660" s="4">
        <f t="shared" si="472"/>
        <v>0</v>
      </c>
      <c r="M660" s="4">
        <f t="shared" si="473"/>
        <v>0</v>
      </c>
      <c r="N660" s="4">
        <f t="shared" si="474"/>
        <v>0</v>
      </c>
      <c r="O660" s="5">
        <f t="shared" si="475"/>
        <v>20</v>
      </c>
      <c r="P660" s="6" t="str">
        <f t="shared" si="476"/>
        <v>30 Days</v>
      </c>
      <c r="Q660" s="7">
        <v>42855</v>
      </c>
      <c r="R660" s="6" t="str">
        <f>VLOOKUP(A660:A5156,[1]BOM_INV_OPERATOR_DETAILS_OUTPUT!$A$2:$D$1233,4,FALSE)</f>
        <v>AI</v>
      </c>
      <c r="Y660" s="1" t="s">
        <v>1839</v>
      </c>
    </row>
    <row r="661" spans="1:25" x14ac:dyDescent="0.2">
      <c r="A661" s="9" t="s">
        <v>1421</v>
      </c>
      <c r="B661" s="10">
        <v>42822</v>
      </c>
      <c r="C661" s="9" t="s">
        <v>1422</v>
      </c>
      <c r="D661" s="9" t="s">
        <v>133</v>
      </c>
      <c r="E661" s="9" t="s">
        <v>2190</v>
      </c>
      <c r="F661" s="9">
        <v>20000000</v>
      </c>
      <c r="G661" s="8">
        <v>7601</v>
      </c>
      <c r="H661" s="4">
        <f t="shared" si="468"/>
        <v>0</v>
      </c>
      <c r="I661" s="4">
        <f t="shared" si="469"/>
        <v>7601</v>
      </c>
      <c r="J661" s="4">
        <f t="shared" si="470"/>
        <v>0</v>
      </c>
      <c r="K661" s="4">
        <f t="shared" si="471"/>
        <v>0</v>
      </c>
      <c r="L661" s="4">
        <f t="shared" si="472"/>
        <v>0</v>
      </c>
      <c r="M661" s="4">
        <f t="shared" si="473"/>
        <v>0</v>
      </c>
      <c r="N661" s="4">
        <f t="shared" si="474"/>
        <v>0</v>
      </c>
      <c r="O661" s="5">
        <f t="shared" si="475"/>
        <v>33</v>
      </c>
      <c r="P661" s="6" t="str">
        <f t="shared" si="476"/>
        <v>31 TO 45 Days</v>
      </c>
      <c r="Q661" s="7">
        <v>42855</v>
      </c>
      <c r="R661" s="6" t="s">
        <v>2178</v>
      </c>
      <c r="V661" s="1" t="s">
        <v>13</v>
      </c>
      <c r="W661" s="2">
        <v>42822</v>
      </c>
      <c r="X661" s="1" t="s">
        <v>14</v>
      </c>
      <c r="Y661" s="1" t="str">
        <f>"4210172085"</f>
        <v>4210172085</v>
      </c>
    </row>
    <row r="662" spans="1:25" x14ac:dyDescent="0.2">
      <c r="A662" s="9" t="s">
        <v>1235</v>
      </c>
      <c r="B662" s="10">
        <v>42816</v>
      </c>
      <c r="C662" s="9" t="s">
        <v>1236</v>
      </c>
      <c r="D662" s="9" t="s">
        <v>270</v>
      </c>
      <c r="E662" s="9" t="s">
        <v>2190</v>
      </c>
      <c r="F662" s="9">
        <v>0</v>
      </c>
      <c r="G662" s="8">
        <v>7605</v>
      </c>
      <c r="H662" s="4">
        <f t="shared" si="468"/>
        <v>0</v>
      </c>
      <c r="I662" s="4">
        <f t="shared" si="469"/>
        <v>7605</v>
      </c>
      <c r="J662" s="4">
        <f t="shared" si="470"/>
        <v>0</v>
      </c>
      <c r="K662" s="4">
        <f t="shared" si="471"/>
        <v>0</v>
      </c>
      <c r="L662" s="4">
        <f t="shared" si="472"/>
        <v>0</v>
      </c>
      <c r="M662" s="4">
        <f t="shared" si="473"/>
        <v>0</v>
      </c>
      <c r="N662" s="4">
        <f t="shared" si="474"/>
        <v>0</v>
      </c>
      <c r="O662" s="5">
        <f t="shared" si="475"/>
        <v>39</v>
      </c>
      <c r="P662" s="6" t="str">
        <f t="shared" si="476"/>
        <v>31 TO 45 Days</v>
      </c>
      <c r="Q662" s="7">
        <v>42855</v>
      </c>
      <c r="R662" s="6" t="s">
        <v>2178</v>
      </c>
      <c r="Y662" s="1" t="str">
        <f>"4570270279"</f>
        <v>4570270279</v>
      </c>
    </row>
    <row r="663" spans="1:25" x14ac:dyDescent="0.2">
      <c r="A663" s="9" t="s">
        <v>704</v>
      </c>
      <c r="B663" s="10">
        <v>42791</v>
      </c>
      <c r="C663" s="9" t="s">
        <v>705</v>
      </c>
      <c r="D663" s="9" t="s">
        <v>133</v>
      </c>
      <c r="E663" s="9" t="s">
        <v>2190</v>
      </c>
      <c r="F663" s="9">
        <v>20000000</v>
      </c>
      <c r="G663" s="8">
        <v>7605</v>
      </c>
      <c r="H663" s="4">
        <f t="shared" si="468"/>
        <v>0</v>
      </c>
      <c r="I663" s="4">
        <f t="shared" si="469"/>
        <v>0</v>
      </c>
      <c r="J663" s="4">
        <f t="shared" si="470"/>
        <v>0</v>
      </c>
      <c r="K663" s="4">
        <f t="shared" si="471"/>
        <v>7605</v>
      </c>
      <c r="L663" s="4">
        <f t="shared" si="472"/>
        <v>0</v>
      </c>
      <c r="M663" s="4">
        <f t="shared" si="473"/>
        <v>0</v>
      </c>
      <c r="N663" s="4">
        <f t="shared" si="474"/>
        <v>7605</v>
      </c>
      <c r="O663" s="5">
        <f t="shared" si="475"/>
        <v>64</v>
      </c>
      <c r="P663" s="6" t="str">
        <f t="shared" si="476"/>
        <v>61 To 90 Days</v>
      </c>
      <c r="Q663" s="7">
        <v>42855</v>
      </c>
      <c r="R663" s="6" t="s">
        <v>2178</v>
      </c>
      <c r="V663" s="1" t="s">
        <v>13</v>
      </c>
      <c r="W663" s="2">
        <v>42796</v>
      </c>
      <c r="X663" s="1" t="s">
        <v>14</v>
      </c>
      <c r="Y663" s="1" t="str">
        <f>"4071585754"</f>
        <v>4071585754</v>
      </c>
    </row>
    <row r="664" spans="1:25" x14ac:dyDescent="0.2">
      <c r="A664" s="9" t="s">
        <v>485</v>
      </c>
      <c r="B664" s="10">
        <v>42773</v>
      </c>
      <c r="C664" s="9" t="s">
        <v>486</v>
      </c>
      <c r="D664" s="9" t="s">
        <v>140</v>
      </c>
      <c r="E664" s="9" t="s">
        <v>2190</v>
      </c>
      <c r="F664" s="9">
        <v>0</v>
      </c>
      <c r="G664" s="8">
        <v>7609</v>
      </c>
      <c r="H664" s="4">
        <f t="shared" si="468"/>
        <v>0</v>
      </c>
      <c r="I664" s="4">
        <f t="shared" si="469"/>
        <v>0</v>
      </c>
      <c r="J664" s="4">
        <f t="shared" si="470"/>
        <v>0</v>
      </c>
      <c r="K664" s="4">
        <f t="shared" si="471"/>
        <v>7609</v>
      </c>
      <c r="L664" s="4">
        <f t="shared" si="472"/>
        <v>0</v>
      </c>
      <c r="M664" s="4">
        <f t="shared" si="473"/>
        <v>0</v>
      </c>
      <c r="N664" s="4">
        <f t="shared" si="474"/>
        <v>7609</v>
      </c>
      <c r="O664" s="5">
        <f t="shared" si="475"/>
        <v>82</v>
      </c>
      <c r="P664" s="6" t="str">
        <f t="shared" si="476"/>
        <v>61 To 90 Days</v>
      </c>
      <c r="Q664" s="7">
        <v>42855</v>
      </c>
      <c r="R664" s="6" t="s">
        <v>2178</v>
      </c>
      <c r="Y664" s="1" t="str">
        <f>"4400187554"</f>
        <v>4400187554</v>
      </c>
    </row>
    <row r="665" spans="1:25" x14ac:dyDescent="0.2">
      <c r="A665" s="9" t="s">
        <v>1091</v>
      </c>
      <c r="B665" s="10">
        <v>42814</v>
      </c>
      <c r="C665" s="9" t="s">
        <v>1092</v>
      </c>
      <c r="D665" s="9" t="s">
        <v>148</v>
      </c>
      <c r="E665" s="9" t="s">
        <v>2190</v>
      </c>
      <c r="F665" s="9">
        <v>500000</v>
      </c>
      <c r="G665" s="8">
        <v>7620</v>
      </c>
      <c r="H665" s="4">
        <f t="shared" si="468"/>
        <v>0</v>
      </c>
      <c r="I665" s="4">
        <f t="shared" si="469"/>
        <v>7620</v>
      </c>
      <c r="J665" s="4">
        <f t="shared" si="470"/>
        <v>0</v>
      </c>
      <c r="K665" s="4">
        <f t="shared" si="471"/>
        <v>0</v>
      </c>
      <c r="L665" s="4">
        <f t="shared" si="472"/>
        <v>0</v>
      </c>
      <c r="M665" s="4">
        <f t="shared" si="473"/>
        <v>0</v>
      </c>
      <c r="N665" s="4">
        <f t="shared" si="474"/>
        <v>0</v>
      </c>
      <c r="O665" s="5">
        <f t="shared" si="475"/>
        <v>41</v>
      </c>
      <c r="P665" s="6" t="str">
        <f t="shared" si="476"/>
        <v>31 TO 45 Days</v>
      </c>
      <c r="Q665" s="7">
        <v>42855</v>
      </c>
      <c r="R665" s="6" t="s">
        <v>2178</v>
      </c>
      <c r="Y665" s="1" t="str">
        <f>"4750387434"</f>
        <v>4750387434</v>
      </c>
    </row>
    <row r="666" spans="1:25" x14ac:dyDescent="0.2">
      <c r="A666" s="9" t="s">
        <v>545</v>
      </c>
      <c r="B666" s="10">
        <v>42776</v>
      </c>
      <c r="C666" s="9" t="s">
        <v>546</v>
      </c>
      <c r="D666" s="9" t="s">
        <v>270</v>
      </c>
      <c r="E666" s="9" t="s">
        <v>2190</v>
      </c>
      <c r="F666" s="9">
        <v>0</v>
      </c>
      <c r="G666" s="8">
        <v>7625</v>
      </c>
      <c r="H666" s="4">
        <f t="shared" si="468"/>
        <v>0</v>
      </c>
      <c r="I666" s="4">
        <f t="shared" si="469"/>
        <v>0</v>
      </c>
      <c r="J666" s="4">
        <f t="shared" si="470"/>
        <v>0</v>
      </c>
      <c r="K666" s="4">
        <f t="shared" si="471"/>
        <v>7625</v>
      </c>
      <c r="L666" s="4">
        <f t="shared" si="472"/>
        <v>0</v>
      </c>
      <c r="M666" s="4">
        <f t="shared" si="473"/>
        <v>0</v>
      </c>
      <c r="N666" s="4">
        <f t="shared" si="474"/>
        <v>7625</v>
      </c>
      <c r="O666" s="5">
        <f t="shared" si="475"/>
        <v>79</v>
      </c>
      <c r="P666" s="6" t="str">
        <f t="shared" si="476"/>
        <v>61 To 90 Days</v>
      </c>
      <c r="Q666" s="7">
        <v>42855</v>
      </c>
      <c r="R666" s="6" t="s">
        <v>2178</v>
      </c>
      <c r="Y666" s="1" t="str">
        <f>"4560217253"</f>
        <v>4560217253</v>
      </c>
    </row>
    <row r="667" spans="1:25" x14ac:dyDescent="0.2">
      <c r="A667" s="9" t="s">
        <v>146</v>
      </c>
      <c r="B667" s="10">
        <v>42599</v>
      </c>
      <c r="C667" s="9" t="s">
        <v>147</v>
      </c>
      <c r="D667" s="9" t="s">
        <v>145</v>
      </c>
      <c r="E667" s="9" t="s">
        <v>2190</v>
      </c>
      <c r="F667" s="9">
        <v>2100000</v>
      </c>
      <c r="G667" s="8">
        <v>7648</v>
      </c>
      <c r="H667" s="4">
        <f t="shared" si="468"/>
        <v>0</v>
      </c>
      <c r="I667" s="4">
        <f t="shared" si="469"/>
        <v>0</v>
      </c>
      <c r="J667" s="4">
        <f t="shared" si="470"/>
        <v>0</v>
      </c>
      <c r="K667" s="4">
        <f t="shared" si="471"/>
        <v>0</v>
      </c>
      <c r="L667" s="4">
        <f t="shared" si="472"/>
        <v>0</v>
      </c>
      <c r="M667" s="4">
        <f t="shared" si="473"/>
        <v>7648</v>
      </c>
      <c r="N667" s="4">
        <f t="shared" si="474"/>
        <v>7648</v>
      </c>
      <c r="O667" s="5">
        <f t="shared" si="475"/>
        <v>256</v>
      </c>
      <c r="P667" s="6" t="str">
        <f t="shared" si="476"/>
        <v>Plus120Days</v>
      </c>
      <c r="Q667" s="7">
        <v>42855</v>
      </c>
      <c r="R667" s="6" t="s">
        <v>2178</v>
      </c>
      <c r="Y667" s="1" t="str">
        <f>"4600150204"</f>
        <v>4600150204</v>
      </c>
    </row>
    <row r="668" spans="1:25" x14ac:dyDescent="0.2">
      <c r="A668" s="9" t="s">
        <v>310</v>
      </c>
      <c r="B668" s="10">
        <v>42747</v>
      </c>
      <c r="C668" s="9" t="s">
        <v>311</v>
      </c>
      <c r="D668" s="9" t="s">
        <v>148</v>
      </c>
      <c r="E668" s="9" t="s">
        <v>2190</v>
      </c>
      <c r="F668" s="9">
        <v>500000</v>
      </c>
      <c r="G668" s="8">
        <v>7649</v>
      </c>
      <c r="H668" s="4">
        <f t="shared" si="468"/>
        <v>0</v>
      </c>
      <c r="I668" s="4">
        <f t="shared" si="469"/>
        <v>0</v>
      </c>
      <c r="J668" s="4">
        <f t="shared" si="470"/>
        <v>0</v>
      </c>
      <c r="K668" s="4">
        <f t="shared" si="471"/>
        <v>0</v>
      </c>
      <c r="L668" s="4">
        <f t="shared" si="472"/>
        <v>7649</v>
      </c>
      <c r="M668" s="4">
        <f t="shared" si="473"/>
        <v>0</v>
      </c>
      <c r="N668" s="4">
        <f t="shared" si="474"/>
        <v>7649</v>
      </c>
      <c r="O668" s="5">
        <f t="shared" si="475"/>
        <v>108</v>
      </c>
      <c r="P668" s="6" t="str">
        <f t="shared" si="476"/>
        <v>91 To 120 Days</v>
      </c>
      <c r="Q668" s="7">
        <v>42855</v>
      </c>
      <c r="R668" s="6" t="s">
        <v>2178</v>
      </c>
      <c r="Y668" s="1" t="str">
        <f>"4540129090"</f>
        <v>4540129090</v>
      </c>
    </row>
    <row r="669" spans="1:25" x14ac:dyDescent="0.2">
      <c r="A669" s="9" t="s">
        <v>621</v>
      </c>
      <c r="B669" s="10">
        <v>42784</v>
      </c>
      <c r="C669" s="9" t="s">
        <v>622</v>
      </c>
      <c r="D669" s="9" t="s">
        <v>41</v>
      </c>
      <c r="E669" s="9" t="s">
        <v>2190</v>
      </c>
      <c r="F669" s="9">
        <v>500000</v>
      </c>
      <c r="G669" s="8">
        <v>7687</v>
      </c>
      <c r="H669" s="4">
        <f t="shared" si="468"/>
        <v>0</v>
      </c>
      <c r="I669" s="4">
        <f t="shared" si="469"/>
        <v>0</v>
      </c>
      <c r="J669" s="4">
        <f t="shared" si="470"/>
        <v>0</v>
      </c>
      <c r="K669" s="4">
        <f t="shared" si="471"/>
        <v>7687</v>
      </c>
      <c r="L669" s="4">
        <f t="shared" si="472"/>
        <v>0</v>
      </c>
      <c r="M669" s="4">
        <f t="shared" si="473"/>
        <v>0</v>
      </c>
      <c r="N669" s="4">
        <f t="shared" si="474"/>
        <v>7687</v>
      </c>
      <c r="O669" s="5">
        <f t="shared" si="475"/>
        <v>71</v>
      </c>
      <c r="P669" s="6" t="str">
        <f t="shared" si="476"/>
        <v>61 To 90 Days</v>
      </c>
      <c r="Q669" s="7">
        <v>42855</v>
      </c>
      <c r="R669" s="6" t="s">
        <v>2178</v>
      </c>
      <c r="Y669" s="1" t="str">
        <f>"4930434616"</f>
        <v>4930434616</v>
      </c>
    </row>
    <row r="670" spans="1:25" x14ac:dyDescent="0.2">
      <c r="A670" s="9" t="s">
        <v>2105</v>
      </c>
      <c r="B670" s="10">
        <v>42838</v>
      </c>
      <c r="C670" s="9" t="s">
        <v>2106</v>
      </c>
      <c r="D670" s="9" t="s">
        <v>2102</v>
      </c>
      <c r="E670" s="9" t="s">
        <v>2190</v>
      </c>
      <c r="F670" s="9">
        <v>0</v>
      </c>
      <c r="G670" s="8">
        <v>7708</v>
      </c>
      <c r="H670" s="4">
        <f t="shared" si="468"/>
        <v>7708</v>
      </c>
      <c r="I670" s="4">
        <f t="shared" si="469"/>
        <v>0</v>
      </c>
      <c r="J670" s="4">
        <f t="shared" si="470"/>
        <v>0</v>
      </c>
      <c r="K670" s="4">
        <f t="shared" si="471"/>
        <v>0</v>
      </c>
      <c r="L670" s="4">
        <f t="shared" si="472"/>
        <v>0</v>
      </c>
      <c r="M670" s="4">
        <f t="shared" si="473"/>
        <v>0</v>
      </c>
      <c r="N670" s="4">
        <f t="shared" si="474"/>
        <v>0</v>
      </c>
      <c r="O670" s="5">
        <f t="shared" si="475"/>
        <v>17</v>
      </c>
      <c r="P670" s="6" t="str">
        <f t="shared" si="476"/>
        <v>30 Days</v>
      </c>
      <c r="Q670" s="7">
        <v>42855</v>
      </c>
      <c r="R670" s="6" t="str">
        <f>VLOOKUP(A670:A5194,[1]BOM_INV_OPERATOR_DETAILS_OUTPUT!$A$2:$D$1233,4,FALSE)</f>
        <v>AI</v>
      </c>
      <c r="Y670" s="1" t="str">
        <f>"4812079809"</f>
        <v>4812079809</v>
      </c>
    </row>
    <row r="671" spans="1:25" x14ac:dyDescent="0.2">
      <c r="A671" s="9" t="s">
        <v>393</v>
      </c>
      <c r="B671" s="10">
        <v>42763</v>
      </c>
      <c r="C671" s="9" t="s">
        <v>394</v>
      </c>
      <c r="D671" s="9" t="s">
        <v>30</v>
      </c>
      <c r="E671" s="9" t="s">
        <v>2190</v>
      </c>
      <c r="F671" s="9">
        <v>700000</v>
      </c>
      <c r="G671" s="8">
        <v>7733</v>
      </c>
      <c r="H671" s="4">
        <f t="shared" si="468"/>
        <v>0</v>
      </c>
      <c r="I671" s="4">
        <f t="shared" si="469"/>
        <v>0</v>
      </c>
      <c r="J671" s="4">
        <f t="shared" si="470"/>
        <v>0</v>
      </c>
      <c r="K671" s="4">
        <f t="shared" si="471"/>
        <v>0</v>
      </c>
      <c r="L671" s="4">
        <f t="shared" si="472"/>
        <v>7733</v>
      </c>
      <c r="M671" s="4">
        <f t="shared" si="473"/>
        <v>0</v>
      </c>
      <c r="N671" s="4">
        <f t="shared" si="474"/>
        <v>7733</v>
      </c>
      <c r="O671" s="5">
        <f t="shared" si="475"/>
        <v>92</v>
      </c>
      <c r="P671" s="6" t="str">
        <f t="shared" si="476"/>
        <v>91 To 120 Days</v>
      </c>
      <c r="Q671" s="7">
        <v>42855</v>
      </c>
      <c r="R671" s="6" t="s">
        <v>2178</v>
      </c>
      <c r="Y671" s="1" t="str">
        <f>"4600156008"</f>
        <v>4600156008</v>
      </c>
    </row>
    <row r="672" spans="1:25" x14ac:dyDescent="0.2">
      <c r="A672" s="9" t="s">
        <v>598</v>
      </c>
      <c r="B672" s="10">
        <v>42783</v>
      </c>
      <c r="C672" s="9" t="s">
        <v>599</v>
      </c>
      <c r="D672" s="9" t="s">
        <v>41</v>
      </c>
      <c r="E672" s="9" t="s">
        <v>2190</v>
      </c>
      <c r="F672" s="9">
        <v>500000</v>
      </c>
      <c r="G672" s="8">
        <v>7738</v>
      </c>
      <c r="H672" s="4">
        <f t="shared" si="468"/>
        <v>0</v>
      </c>
      <c r="I672" s="4">
        <f t="shared" si="469"/>
        <v>0</v>
      </c>
      <c r="J672" s="4">
        <f t="shared" si="470"/>
        <v>0</v>
      </c>
      <c r="K672" s="4">
        <f t="shared" si="471"/>
        <v>7738</v>
      </c>
      <c r="L672" s="4">
        <f t="shared" si="472"/>
        <v>0</v>
      </c>
      <c r="M672" s="4">
        <f t="shared" si="473"/>
        <v>0</v>
      </c>
      <c r="N672" s="4">
        <f t="shared" si="474"/>
        <v>7738</v>
      </c>
      <c r="O672" s="5">
        <f t="shared" si="475"/>
        <v>72</v>
      </c>
      <c r="P672" s="6" t="str">
        <f t="shared" si="476"/>
        <v>61 To 90 Days</v>
      </c>
      <c r="Q672" s="7">
        <v>42855</v>
      </c>
      <c r="R672" s="6" t="s">
        <v>2178</v>
      </c>
      <c r="Y672" s="1" t="str">
        <f>"4930434321"</f>
        <v>4930434321</v>
      </c>
    </row>
    <row r="673" spans="1:25" x14ac:dyDescent="0.2">
      <c r="A673" s="9" t="s">
        <v>1374</v>
      </c>
      <c r="B673" s="10">
        <v>42822</v>
      </c>
      <c r="C673" s="9" t="s">
        <v>1375</v>
      </c>
      <c r="D673" s="9" t="s">
        <v>270</v>
      </c>
      <c r="E673" s="9" t="s">
        <v>2190</v>
      </c>
      <c r="F673" s="9">
        <v>0</v>
      </c>
      <c r="G673" s="8">
        <v>7739</v>
      </c>
      <c r="H673" s="4">
        <f t="shared" ref="H673:H705" si="477">IF(O673&lt;=30,G673,0)</f>
        <v>0</v>
      </c>
      <c r="I673" s="4">
        <f t="shared" ref="I673:I705" si="478">IF(AND(O673&gt;30,O673&lt;=45),G673,0)</f>
        <v>7739</v>
      </c>
      <c r="J673" s="4">
        <f t="shared" ref="J673:J705" si="479">IF(AND(O673&gt;45,O673&lt;=60),G673,0)</f>
        <v>0</v>
      </c>
      <c r="K673" s="4">
        <f t="shared" ref="K673:K705" si="480">IF(AND(O673&gt;60,O673&lt;=90),G673,0)</f>
        <v>0</v>
      </c>
      <c r="L673" s="4">
        <f t="shared" ref="L673:L705" si="481">IF(AND(O673&gt;90,O673&lt;=120),G673,0)</f>
        <v>0</v>
      </c>
      <c r="M673" s="4">
        <f t="shared" ref="M673:M705" si="482">IF(O673&gt;120,G673,0)</f>
        <v>0</v>
      </c>
      <c r="N673" s="4">
        <f t="shared" ref="N673:N705" si="483">IF(O673&gt;60,G673,0)</f>
        <v>0</v>
      </c>
      <c r="O673" s="5">
        <f t="shared" ref="O673:O705" si="484">Q673-B673</f>
        <v>33</v>
      </c>
      <c r="P673" s="6" t="str">
        <f t="shared" ref="P673:P705" si="485">IF(AND(O673&lt;=30),"30 Days",IF(AND(O673&gt;30,O673&lt;=45),"31 TO 45 Days",IF(AND(O673&gt;45,O673&lt;=60),"46 To 60 Days",IF(AND(O673&gt;60,O673&lt;=90),"61 To 90 Days",IF(AND(O673&gt;90,O673&lt;=120),"91 To 120 Days",IF(AND(O673&gt;120),"Plus120Days",))))))</f>
        <v>31 TO 45 Days</v>
      </c>
      <c r="Q673" s="7">
        <v>42855</v>
      </c>
      <c r="R673" s="6" t="s">
        <v>2178</v>
      </c>
      <c r="Y673" s="1" t="str">
        <f>"4400189247"</f>
        <v>4400189247</v>
      </c>
    </row>
    <row r="674" spans="1:25" x14ac:dyDescent="0.2">
      <c r="A674" s="9" t="s">
        <v>1974</v>
      </c>
      <c r="B674" s="10">
        <v>42836</v>
      </c>
      <c r="C674" s="9" t="s">
        <v>1975</v>
      </c>
      <c r="D674" s="9" t="s">
        <v>1973</v>
      </c>
      <c r="E674" s="9" t="s">
        <v>2190</v>
      </c>
      <c r="F674" s="9">
        <v>0</v>
      </c>
      <c r="G674" s="8">
        <v>7749</v>
      </c>
      <c r="H674" s="4">
        <f t="shared" si="477"/>
        <v>7749</v>
      </c>
      <c r="I674" s="4">
        <f t="shared" si="478"/>
        <v>0</v>
      </c>
      <c r="J674" s="4">
        <f t="shared" si="479"/>
        <v>0</v>
      </c>
      <c r="K674" s="4">
        <f t="shared" si="480"/>
        <v>0</v>
      </c>
      <c r="L674" s="4">
        <f t="shared" si="481"/>
        <v>0</v>
      </c>
      <c r="M674" s="4">
        <f t="shared" si="482"/>
        <v>0</v>
      </c>
      <c r="N674" s="4">
        <f t="shared" si="483"/>
        <v>0</v>
      </c>
      <c r="O674" s="5">
        <f t="shared" si="484"/>
        <v>19</v>
      </c>
      <c r="P674" s="6" t="str">
        <f t="shared" si="485"/>
        <v>30 Days</v>
      </c>
      <c r="Q674" s="7">
        <v>42855</v>
      </c>
      <c r="R674" s="6" t="str">
        <f>VLOOKUP(A674:A5201,[1]BOM_INV_OPERATOR_DETAILS_OUTPUT!$A$2:$D$1233,4,FALSE)</f>
        <v>AI</v>
      </c>
      <c r="Y674" s="1" t="str">
        <f>"4080253526"</f>
        <v>4080253526</v>
      </c>
    </row>
    <row r="675" spans="1:25" x14ac:dyDescent="0.2">
      <c r="A675" s="9" t="s">
        <v>1744</v>
      </c>
      <c r="B675" s="10">
        <v>42831</v>
      </c>
      <c r="C675" s="9" t="s">
        <v>1745</v>
      </c>
      <c r="D675" s="9" t="s">
        <v>629</v>
      </c>
      <c r="E675" s="9" t="s">
        <v>2190</v>
      </c>
      <c r="F675" s="9">
        <v>2000000</v>
      </c>
      <c r="G675" s="8">
        <v>7749</v>
      </c>
      <c r="H675" s="4">
        <f t="shared" si="477"/>
        <v>7749</v>
      </c>
      <c r="I675" s="4">
        <f t="shared" si="478"/>
        <v>0</v>
      </c>
      <c r="J675" s="4">
        <f t="shared" si="479"/>
        <v>0</v>
      </c>
      <c r="K675" s="4">
        <f t="shared" si="480"/>
        <v>0</v>
      </c>
      <c r="L675" s="4">
        <f t="shared" si="481"/>
        <v>0</v>
      </c>
      <c r="M675" s="4">
        <f t="shared" si="482"/>
        <v>0</v>
      </c>
      <c r="N675" s="4">
        <f t="shared" si="483"/>
        <v>0</v>
      </c>
      <c r="O675" s="5">
        <f t="shared" si="484"/>
        <v>24</v>
      </c>
      <c r="P675" s="6" t="str">
        <f t="shared" si="485"/>
        <v>30 Days</v>
      </c>
      <c r="Q675" s="7">
        <v>42855</v>
      </c>
      <c r="R675" s="6" t="s">
        <v>2178</v>
      </c>
      <c r="Y675" s="1" t="str">
        <f>"4200122010"</f>
        <v>4200122010</v>
      </c>
    </row>
    <row r="676" spans="1:25" x14ac:dyDescent="0.2">
      <c r="A676" s="9" t="s">
        <v>779</v>
      </c>
      <c r="B676" s="10">
        <v>42794</v>
      </c>
      <c r="C676" s="9" t="s">
        <v>780</v>
      </c>
      <c r="D676" s="9" t="s">
        <v>133</v>
      </c>
      <c r="E676" s="9" t="s">
        <v>2190</v>
      </c>
      <c r="F676" s="9">
        <v>20000000</v>
      </c>
      <c r="G676" s="8">
        <v>7771</v>
      </c>
      <c r="H676" s="4">
        <f t="shared" si="477"/>
        <v>0</v>
      </c>
      <c r="I676" s="4">
        <f t="shared" si="478"/>
        <v>0</v>
      </c>
      <c r="J676" s="4">
        <f t="shared" si="479"/>
        <v>0</v>
      </c>
      <c r="K676" s="4">
        <f t="shared" si="480"/>
        <v>7771</v>
      </c>
      <c r="L676" s="4">
        <f t="shared" si="481"/>
        <v>0</v>
      </c>
      <c r="M676" s="4">
        <f t="shared" si="482"/>
        <v>0</v>
      </c>
      <c r="N676" s="4">
        <f t="shared" si="483"/>
        <v>7771</v>
      </c>
      <c r="O676" s="5">
        <f t="shared" si="484"/>
        <v>61</v>
      </c>
      <c r="P676" s="6" t="str">
        <f t="shared" si="485"/>
        <v>61 To 90 Days</v>
      </c>
      <c r="Q676" s="7">
        <v>42855</v>
      </c>
      <c r="R676" s="6" t="s">
        <v>2178</v>
      </c>
      <c r="V676" s="1" t="s">
        <v>13</v>
      </c>
      <c r="W676" s="2">
        <v>42796</v>
      </c>
      <c r="X676" s="1" t="s">
        <v>14</v>
      </c>
      <c r="Y676" s="1" t="str">
        <f>"4210171328"</f>
        <v>4210171328</v>
      </c>
    </row>
    <row r="677" spans="1:25" x14ac:dyDescent="0.2">
      <c r="A677" s="9" t="s">
        <v>1689</v>
      </c>
      <c r="B677" s="10">
        <v>42830</v>
      </c>
      <c r="C677" s="9" t="s">
        <v>1690</v>
      </c>
      <c r="D677" s="9" t="s">
        <v>1688</v>
      </c>
      <c r="E677" s="9" t="s">
        <v>2190</v>
      </c>
      <c r="F677" s="9">
        <v>0</v>
      </c>
      <c r="G677" s="8">
        <v>7772</v>
      </c>
      <c r="H677" s="4">
        <f t="shared" si="477"/>
        <v>7772</v>
      </c>
      <c r="I677" s="4">
        <f t="shared" si="478"/>
        <v>0</v>
      </c>
      <c r="J677" s="4">
        <f t="shared" si="479"/>
        <v>0</v>
      </c>
      <c r="K677" s="4">
        <f t="shared" si="480"/>
        <v>0</v>
      </c>
      <c r="L677" s="4">
        <f t="shared" si="481"/>
        <v>0</v>
      </c>
      <c r="M677" s="4">
        <f t="shared" si="482"/>
        <v>0</v>
      </c>
      <c r="N677" s="4">
        <f t="shared" si="483"/>
        <v>0</v>
      </c>
      <c r="O677" s="5">
        <f t="shared" si="484"/>
        <v>25</v>
      </c>
      <c r="P677" s="6" t="str">
        <f t="shared" si="485"/>
        <v>30 Days</v>
      </c>
      <c r="Q677" s="7">
        <v>42855</v>
      </c>
      <c r="R677" s="6" t="s">
        <v>2178</v>
      </c>
      <c r="Y677" s="1" t="str">
        <f>"4100145261"</f>
        <v>4100145261</v>
      </c>
    </row>
    <row r="678" spans="1:25" x14ac:dyDescent="0.2">
      <c r="A678" s="9" t="s">
        <v>791</v>
      </c>
      <c r="B678" s="10">
        <v>42794</v>
      </c>
      <c r="C678" s="9" t="s">
        <v>792</v>
      </c>
      <c r="D678" s="9" t="s">
        <v>778</v>
      </c>
      <c r="E678" s="9" t="s">
        <v>2190</v>
      </c>
      <c r="F678" s="9">
        <v>200000</v>
      </c>
      <c r="G678" s="8">
        <v>7773</v>
      </c>
      <c r="H678" s="4">
        <f t="shared" si="477"/>
        <v>0</v>
      </c>
      <c r="I678" s="4">
        <f t="shared" si="478"/>
        <v>0</v>
      </c>
      <c r="J678" s="4">
        <f t="shared" si="479"/>
        <v>0</v>
      </c>
      <c r="K678" s="4">
        <f t="shared" si="480"/>
        <v>7773</v>
      </c>
      <c r="L678" s="4">
        <f t="shared" si="481"/>
        <v>0</v>
      </c>
      <c r="M678" s="4">
        <f t="shared" si="482"/>
        <v>0</v>
      </c>
      <c r="N678" s="4">
        <f t="shared" si="483"/>
        <v>7773</v>
      </c>
      <c r="O678" s="5">
        <f t="shared" si="484"/>
        <v>61</v>
      </c>
      <c r="P678" s="6" t="str">
        <f t="shared" si="485"/>
        <v>61 To 90 Days</v>
      </c>
      <c r="Q678" s="7">
        <v>42855</v>
      </c>
      <c r="R678" s="6" t="s">
        <v>2178</v>
      </c>
      <c r="Y678" s="1" t="str">
        <f>"423609546"</f>
        <v>423609546</v>
      </c>
    </row>
    <row r="679" spans="1:25" x14ac:dyDescent="0.2">
      <c r="A679" s="9" t="s">
        <v>793</v>
      </c>
      <c r="B679" s="10">
        <v>42794</v>
      </c>
      <c r="C679" s="9" t="s">
        <v>794</v>
      </c>
      <c r="D679" s="9" t="s">
        <v>778</v>
      </c>
      <c r="E679" s="9" t="s">
        <v>2190</v>
      </c>
      <c r="F679" s="9">
        <v>200000</v>
      </c>
      <c r="G679" s="8">
        <v>7773</v>
      </c>
      <c r="H679" s="4">
        <f t="shared" si="477"/>
        <v>0</v>
      </c>
      <c r="I679" s="4">
        <f t="shared" si="478"/>
        <v>0</v>
      </c>
      <c r="J679" s="4">
        <f t="shared" si="479"/>
        <v>0</v>
      </c>
      <c r="K679" s="4">
        <f t="shared" si="480"/>
        <v>7773</v>
      </c>
      <c r="L679" s="4">
        <f t="shared" si="481"/>
        <v>0</v>
      </c>
      <c r="M679" s="4">
        <f t="shared" si="482"/>
        <v>0</v>
      </c>
      <c r="N679" s="4">
        <f t="shared" si="483"/>
        <v>7773</v>
      </c>
      <c r="O679" s="5">
        <f t="shared" si="484"/>
        <v>61</v>
      </c>
      <c r="P679" s="6" t="str">
        <f t="shared" si="485"/>
        <v>61 To 90 Days</v>
      </c>
      <c r="Q679" s="7">
        <v>42855</v>
      </c>
      <c r="R679" s="6" t="s">
        <v>2178</v>
      </c>
      <c r="Y679" s="1" t="str">
        <f>"423609511"</f>
        <v>423609511</v>
      </c>
    </row>
    <row r="680" spans="1:25" x14ac:dyDescent="0.2">
      <c r="A680" s="9" t="s">
        <v>578</v>
      </c>
      <c r="B680" s="10">
        <v>42781</v>
      </c>
      <c r="C680" s="9" t="s">
        <v>579</v>
      </c>
      <c r="D680" s="9" t="s">
        <v>154</v>
      </c>
      <c r="E680" s="9" t="s">
        <v>2190</v>
      </c>
      <c r="F680" s="9">
        <v>0</v>
      </c>
      <c r="G680" s="8">
        <v>7795</v>
      </c>
      <c r="H680" s="4">
        <f t="shared" si="477"/>
        <v>0</v>
      </c>
      <c r="I680" s="4">
        <f t="shared" si="478"/>
        <v>0</v>
      </c>
      <c r="J680" s="4">
        <f t="shared" si="479"/>
        <v>0</v>
      </c>
      <c r="K680" s="4">
        <f t="shared" si="480"/>
        <v>7795</v>
      </c>
      <c r="L680" s="4">
        <f t="shared" si="481"/>
        <v>0</v>
      </c>
      <c r="M680" s="4">
        <f t="shared" si="482"/>
        <v>0</v>
      </c>
      <c r="N680" s="4">
        <f t="shared" si="483"/>
        <v>7795</v>
      </c>
      <c r="O680" s="5">
        <f t="shared" si="484"/>
        <v>74</v>
      </c>
      <c r="P680" s="6" t="str">
        <f t="shared" si="485"/>
        <v>61 To 90 Days</v>
      </c>
      <c r="Q680" s="7">
        <v>42855</v>
      </c>
      <c r="R680" s="6" t="s">
        <v>2178</v>
      </c>
      <c r="Y680" s="1" t="str">
        <f>"4950136830"</f>
        <v>4950136830</v>
      </c>
    </row>
    <row r="681" spans="1:25" x14ac:dyDescent="0.2">
      <c r="A681" s="9" t="s">
        <v>1568</v>
      </c>
      <c r="B681" s="10">
        <v>42825</v>
      </c>
      <c r="C681" s="9" t="s">
        <v>1569</v>
      </c>
      <c r="D681" s="9" t="s">
        <v>158</v>
      </c>
      <c r="E681" s="9" t="s">
        <v>2190</v>
      </c>
      <c r="F681" s="9">
        <v>0</v>
      </c>
      <c r="G681" s="8">
        <v>7796</v>
      </c>
      <c r="H681" s="4">
        <f t="shared" si="477"/>
        <v>7796</v>
      </c>
      <c r="I681" s="4">
        <f t="shared" si="478"/>
        <v>0</v>
      </c>
      <c r="J681" s="4">
        <f t="shared" si="479"/>
        <v>0</v>
      </c>
      <c r="K681" s="4">
        <f t="shared" si="480"/>
        <v>0</v>
      </c>
      <c r="L681" s="4">
        <f t="shared" si="481"/>
        <v>0</v>
      </c>
      <c r="M681" s="4">
        <f t="shared" si="482"/>
        <v>0</v>
      </c>
      <c r="N681" s="4">
        <f t="shared" si="483"/>
        <v>0</v>
      </c>
      <c r="O681" s="5">
        <f t="shared" si="484"/>
        <v>30</v>
      </c>
      <c r="P681" s="6" t="str">
        <f t="shared" si="485"/>
        <v>30 Days</v>
      </c>
      <c r="Q681" s="7">
        <v>42855</v>
      </c>
      <c r="R681" s="6" t="s">
        <v>2178</v>
      </c>
      <c r="Y681" s="1" t="str">
        <f>"4930437017"</f>
        <v>4930437017</v>
      </c>
    </row>
    <row r="682" spans="1:25" x14ac:dyDescent="0.2">
      <c r="A682" s="9" t="s">
        <v>906</v>
      </c>
      <c r="B682" s="10">
        <v>42798</v>
      </c>
      <c r="C682" s="9" t="s">
        <v>907</v>
      </c>
      <c r="D682" s="9" t="s">
        <v>148</v>
      </c>
      <c r="E682" s="9" t="s">
        <v>2190</v>
      </c>
      <c r="F682" s="9">
        <v>500000</v>
      </c>
      <c r="G682" s="8">
        <v>7800</v>
      </c>
      <c r="H682" s="4">
        <f t="shared" si="477"/>
        <v>0</v>
      </c>
      <c r="I682" s="4">
        <f t="shared" si="478"/>
        <v>0</v>
      </c>
      <c r="J682" s="4">
        <f t="shared" si="479"/>
        <v>7800</v>
      </c>
      <c r="K682" s="4">
        <f t="shared" si="480"/>
        <v>0</v>
      </c>
      <c r="L682" s="4">
        <f t="shared" si="481"/>
        <v>0</v>
      </c>
      <c r="M682" s="4">
        <f t="shared" si="482"/>
        <v>0</v>
      </c>
      <c r="N682" s="4">
        <f t="shared" si="483"/>
        <v>0</v>
      </c>
      <c r="O682" s="5">
        <f t="shared" si="484"/>
        <v>57</v>
      </c>
      <c r="P682" s="6" t="str">
        <f t="shared" si="485"/>
        <v>46 To 60 Days</v>
      </c>
      <c r="Q682" s="7">
        <v>42855</v>
      </c>
      <c r="R682" s="6" t="s">
        <v>2178</v>
      </c>
      <c r="Y682" s="1" t="str">
        <f>"4540130697"</f>
        <v>4540130697</v>
      </c>
    </row>
    <row r="683" spans="1:25" x14ac:dyDescent="0.2">
      <c r="A683" s="9" t="s">
        <v>529</v>
      </c>
      <c r="B683" s="10">
        <v>42776</v>
      </c>
      <c r="C683" s="9" t="s">
        <v>530</v>
      </c>
      <c r="D683" s="9" t="s">
        <v>44</v>
      </c>
      <c r="E683" s="9" t="s">
        <v>2190</v>
      </c>
      <c r="F683" s="9">
        <v>1000000</v>
      </c>
      <c r="G683" s="8">
        <v>7807</v>
      </c>
      <c r="H683" s="4">
        <f t="shared" si="477"/>
        <v>0</v>
      </c>
      <c r="I683" s="4">
        <f t="shared" si="478"/>
        <v>0</v>
      </c>
      <c r="J683" s="4">
        <f t="shared" si="479"/>
        <v>0</v>
      </c>
      <c r="K683" s="4">
        <f t="shared" si="480"/>
        <v>7807</v>
      </c>
      <c r="L683" s="4">
        <f t="shared" si="481"/>
        <v>0</v>
      </c>
      <c r="M683" s="4">
        <f t="shared" si="482"/>
        <v>0</v>
      </c>
      <c r="N683" s="4">
        <f t="shared" si="483"/>
        <v>7807</v>
      </c>
      <c r="O683" s="5">
        <f t="shared" si="484"/>
        <v>79</v>
      </c>
      <c r="P683" s="6" t="str">
        <f t="shared" si="485"/>
        <v>61 To 90 Days</v>
      </c>
      <c r="Q683" s="7">
        <v>42855</v>
      </c>
      <c r="R683" s="6" t="s">
        <v>2178</v>
      </c>
      <c r="Y683" s="1" t="str">
        <f>"4520085779"</f>
        <v>4520085779</v>
      </c>
    </row>
    <row r="684" spans="1:25" x14ac:dyDescent="0.2">
      <c r="A684" s="9" t="s">
        <v>975</v>
      </c>
      <c r="B684" s="10">
        <v>42804</v>
      </c>
      <c r="C684" s="9" t="s">
        <v>976</v>
      </c>
      <c r="D684" s="9" t="s">
        <v>184</v>
      </c>
      <c r="E684" s="9" t="s">
        <v>2190</v>
      </c>
      <c r="F684" s="9">
        <v>442000</v>
      </c>
      <c r="G684" s="8">
        <v>7810</v>
      </c>
      <c r="H684" s="4">
        <f t="shared" si="477"/>
        <v>0</v>
      </c>
      <c r="I684" s="4">
        <f t="shared" si="478"/>
        <v>0</v>
      </c>
      <c r="J684" s="4">
        <f t="shared" si="479"/>
        <v>7810</v>
      </c>
      <c r="K684" s="4">
        <f t="shared" si="480"/>
        <v>0</v>
      </c>
      <c r="L684" s="4">
        <f t="shared" si="481"/>
        <v>0</v>
      </c>
      <c r="M684" s="4">
        <f t="shared" si="482"/>
        <v>0</v>
      </c>
      <c r="N684" s="4">
        <f t="shared" si="483"/>
        <v>0</v>
      </c>
      <c r="O684" s="5">
        <f t="shared" si="484"/>
        <v>51</v>
      </c>
      <c r="P684" s="6" t="str">
        <f t="shared" si="485"/>
        <v>46 To 60 Days</v>
      </c>
      <c r="Q684" s="7">
        <v>42855</v>
      </c>
      <c r="R684" s="6" t="s">
        <v>2178</v>
      </c>
      <c r="Y684" s="1" t="s">
        <v>977</v>
      </c>
    </row>
    <row r="685" spans="1:25" x14ac:dyDescent="0.2">
      <c r="A685" s="9" t="s">
        <v>1860</v>
      </c>
      <c r="B685" s="10">
        <v>42835</v>
      </c>
      <c r="C685" s="9" t="s">
        <v>1861</v>
      </c>
      <c r="D685" s="9" t="s">
        <v>144</v>
      </c>
      <c r="E685" s="9" t="s">
        <v>2190</v>
      </c>
      <c r="F685" s="9">
        <v>2300000</v>
      </c>
      <c r="G685" s="8">
        <v>7810</v>
      </c>
      <c r="H685" s="4">
        <f t="shared" si="477"/>
        <v>7810</v>
      </c>
      <c r="I685" s="4">
        <f t="shared" si="478"/>
        <v>0</v>
      </c>
      <c r="J685" s="4">
        <f t="shared" si="479"/>
        <v>0</v>
      </c>
      <c r="K685" s="4">
        <f t="shared" si="480"/>
        <v>0</v>
      </c>
      <c r="L685" s="4">
        <f t="shared" si="481"/>
        <v>0</v>
      </c>
      <c r="M685" s="4">
        <f t="shared" si="482"/>
        <v>0</v>
      </c>
      <c r="N685" s="4">
        <f t="shared" si="483"/>
        <v>0</v>
      </c>
      <c r="O685" s="5">
        <f t="shared" si="484"/>
        <v>20</v>
      </c>
      <c r="P685" s="6" t="str">
        <f t="shared" si="485"/>
        <v>30 Days</v>
      </c>
      <c r="Q685" s="7">
        <v>42855</v>
      </c>
      <c r="R685" s="6" t="str">
        <f>VLOOKUP(A685:A5225,[1]BOM_INV_OPERATOR_DETAILS_OUTPUT!$A$2:$D$1233,4,FALSE)</f>
        <v>AI</v>
      </c>
      <c r="Y685" s="1" t="str">
        <f>"4912905979"</f>
        <v>4912905979</v>
      </c>
    </row>
    <row r="686" spans="1:25" x14ac:dyDescent="0.2">
      <c r="A686" s="9" t="s">
        <v>180</v>
      </c>
      <c r="B686" s="10">
        <v>42717</v>
      </c>
      <c r="C686" s="9" t="str">
        <f>"112906983"</f>
        <v>112906983</v>
      </c>
      <c r="D686" s="9" t="s">
        <v>158</v>
      </c>
      <c r="E686" s="9" t="s">
        <v>2190</v>
      </c>
      <c r="F686" s="9">
        <v>0</v>
      </c>
      <c r="G686" s="8">
        <v>7816</v>
      </c>
      <c r="H686" s="4">
        <f t="shared" si="477"/>
        <v>0</v>
      </c>
      <c r="I686" s="4">
        <f t="shared" si="478"/>
        <v>0</v>
      </c>
      <c r="J686" s="4">
        <f t="shared" si="479"/>
        <v>0</v>
      </c>
      <c r="K686" s="4">
        <f t="shared" si="480"/>
        <v>0</v>
      </c>
      <c r="L686" s="4">
        <f t="shared" si="481"/>
        <v>0</v>
      </c>
      <c r="M686" s="4">
        <f t="shared" si="482"/>
        <v>7816</v>
      </c>
      <c r="N686" s="4">
        <f t="shared" si="483"/>
        <v>7816</v>
      </c>
      <c r="O686" s="5">
        <f t="shared" si="484"/>
        <v>138</v>
      </c>
      <c r="P686" s="6" t="str">
        <f t="shared" si="485"/>
        <v>Plus120Days</v>
      </c>
      <c r="Q686" s="7">
        <v>42855</v>
      </c>
      <c r="R686" s="6" t="s">
        <v>2178</v>
      </c>
      <c r="Y686" s="1" t="str">
        <f>"4770107915"</f>
        <v>4770107915</v>
      </c>
    </row>
    <row r="687" spans="1:25" x14ac:dyDescent="0.2">
      <c r="A687" s="9" t="s">
        <v>1610</v>
      </c>
      <c r="B687" s="10">
        <v>42828</v>
      </c>
      <c r="C687" s="9" t="s">
        <v>1611</v>
      </c>
      <c r="D687" s="9" t="s">
        <v>132</v>
      </c>
      <c r="E687" s="9" t="s">
        <v>2190</v>
      </c>
      <c r="F687" s="9">
        <v>100000</v>
      </c>
      <c r="G687" s="8">
        <v>7818</v>
      </c>
      <c r="H687" s="4">
        <f t="shared" si="477"/>
        <v>7818</v>
      </c>
      <c r="I687" s="4">
        <f t="shared" si="478"/>
        <v>0</v>
      </c>
      <c r="J687" s="4">
        <f t="shared" si="479"/>
        <v>0</v>
      </c>
      <c r="K687" s="4">
        <f t="shared" si="480"/>
        <v>0</v>
      </c>
      <c r="L687" s="4">
        <f t="shared" si="481"/>
        <v>0</v>
      </c>
      <c r="M687" s="4">
        <f t="shared" si="482"/>
        <v>0</v>
      </c>
      <c r="N687" s="4">
        <f t="shared" si="483"/>
        <v>0</v>
      </c>
      <c r="O687" s="5">
        <f t="shared" si="484"/>
        <v>27</v>
      </c>
      <c r="P687" s="6" t="str">
        <f t="shared" si="485"/>
        <v>30 Days</v>
      </c>
      <c r="Q687" s="7">
        <v>42855</v>
      </c>
      <c r="R687" s="6" t="s">
        <v>2178</v>
      </c>
      <c r="Y687" s="1" t="str">
        <f>"4190211014"</f>
        <v>4190211014</v>
      </c>
    </row>
    <row r="688" spans="1:25" x14ac:dyDescent="0.2">
      <c r="A688" s="9" t="s">
        <v>2132</v>
      </c>
      <c r="B688" s="10">
        <v>42840</v>
      </c>
      <c r="C688" s="9" t="s">
        <v>2133</v>
      </c>
      <c r="D688" s="9" t="s">
        <v>2131</v>
      </c>
      <c r="E688" s="9" t="s">
        <v>2190</v>
      </c>
      <c r="F688" s="9">
        <v>0</v>
      </c>
      <c r="G688" s="8">
        <v>7820</v>
      </c>
      <c r="H688" s="4">
        <f t="shared" si="477"/>
        <v>7820</v>
      </c>
      <c r="I688" s="4">
        <f t="shared" si="478"/>
        <v>0</v>
      </c>
      <c r="J688" s="4">
        <f t="shared" si="479"/>
        <v>0</v>
      </c>
      <c r="K688" s="4">
        <f t="shared" si="480"/>
        <v>0</v>
      </c>
      <c r="L688" s="4">
        <f t="shared" si="481"/>
        <v>0</v>
      </c>
      <c r="M688" s="4">
        <f t="shared" si="482"/>
        <v>0</v>
      </c>
      <c r="N688" s="4">
        <f t="shared" si="483"/>
        <v>0</v>
      </c>
      <c r="O688" s="5">
        <f t="shared" si="484"/>
        <v>15</v>
      </c>
      <c r="P688" s="6" t="str">
        <f t="shared" si="485"/>
        <v>30 Days</v>
      </c>
      <c r="Q688" s="7">
        <v>42855</v>
      </c>
      <c r="R688" s="6" t="str">
        <f>VLOOKUP(A688:A5232,[1]BOM_INV_OPERATOR_DETAILS_OUTPUT!$A$2:$D$1233,4,FALSE)</f>
        <v>AI</v>
      </c>
      <c r="Y688" s="1" t="str">
        <f>"4060588241"</f>
        <v>4060588241</v>
      </c>
    </row>
    <row r="689" spans="1:25" x14ac:dyDescent="0.2">
      <c r="A689" s="9" t="s">
        <v>2046</v>
      </c>
      <c r="B689" s="10">
        <v>42837</v>
      </c>
      <c r="C689" s="9" t="s">
        <v>2047</v>
      </c>
      <c r="D689" s="9" t="s">
        <v>2045</v>
      </c>
      <c r="E689" s="9" t="s">
        <v>2190</v>
      </c>
      <c r="F689" s="9">
        <v>0</v>
      </c>
      <c r="G689" s="8">
        <v>7829</v>
      </c>
      <c r="H689" s="4">
        <f t="shared" si="477"/>
        <v>7829</v>
      </c>
      <c r="I689" s="4">
        <f t="shared" si="478"/>
        <v>0</v>
      </c>
      <c r="J689" s="4">
        <f t="shared" si="479"/>
        <v>0</v>
      </c>
      <c r="K689" s="4">
        <f t="shared" si="480"/>
        <v>0</v>
      </c>
      <c r="L689" s="4">
        <f t="shared" si="481"/>
        <v>0</v>
      </c>
      <c r="M689" s="4">
        <f t="shared" si="482"/>
        <v>0</v>
      </c>
      <c r="N689" s="4">
        <f t="shared" si="483"/>
        <v>0</v>
      </c>
      <c r="O689" s="5">
        <f t="shared" si="484"/>
        <v>18</v>
      </c>
      <c r="P689" s="6" t="str">
        <f t="shared" si="485"/>
        <v>30 Days</v>
      </c>
      <c r="Q689" s="7">
        <v>42855</v>
      </c>
      <c r="R689" s="6" t="str">
        <f>VLOOKUP(A689:A5233,[1]BOM_INV_OPERATOR_DETAILS_OUTPUT!$A$2:$D$1233,4,FALSE)</f>
        <v>AI</v>
      </c>
      <c r="Y689" s="1" t="str">
        <f>"4711232418"</f>
        <v>4711232418</v>
      </c>
    </row>
    <row r="690" spans="1:25" x14ac:dyDescent="0.2">
      <c r="A690" s="9" t="s">
        <v>2009</v>
      </c>
      <c r="B690" s="10">
        <v>42836</v>
      </c>
      <c r="C690" s="9" t="s">
        <v>2010</v>
      </c>
      <c r="D690" s="9" t="s">
        <v>2006</v>
      </c>
      <c r="E690" s="9" t="s">
        <v>2190</v>
      </c>
      <c r="F690" s="9">
        <v>0</v>
      </c>
      <c r="G690" s="8">
        <v>7829</v>
      </c>
      <c r="H690" s="4">
        <f t="shared" si="477"/>
        <v>7829</v>
      </c>
      <c r="I690" s="4">
        <f t="shared" si="478"/>
        <v>0</v>
      </c>
      <c r="J690" s="4">
        <f t="shared" si="479"/>
        <v>0</v>
      </c>
      <c r="K690" s="4">
        <f t="shared" si="480"/>
        <v>0</v>
      </c>
      <c r="L690" s="4">
        <f t="shared" si="481"/>
        <v>0</v>
      </c>
      <c r="M690" s="4">
        <f t="shared" si="482"/>
        <v>0</v>
      </c>
      <c r="N690" s="4">
        <f t="shared" si="483"/>
        <v>0</v>
      </c>
      <c r="O690" s="5">
        <f t="shared" si="484"/>
        <v>19</v>
      </c>
      <c r="P690" s="6" t="str">
        <f t="shared" si="485"/>
        <v>30 Days</v>
      </c>
      <c r="Q690" s="7">
        <v>42855</v>
      </c>
      <c r="R690" s="6" t="str">
        <f>VLOOKUP(A690:A5234,[1]BOM_INV_OPERATOR_DETAILS_OUTPUT!$A$2:$D$1233,4,FALSE)</f>
        <v>AI</v>
      </c>
      <c r="Y690" s="1" t="str">
        <f>"4052208235"</f>
        <v>4052208235</v>
      </c>
    </row>
    <row r="691" spans="1:25" x14ac:dyDescent="0.2">
      <c r="A691" s="9" t="s">
        <v>749</v>
      </c>
      <c r="B691" s="10">
        <v>42793</v>
      </c>
      <c r="C691" s="9" t="s">
        <v>750</v>
      </c>
      <c r="D691" s="9" t="s">
        <v>148</v>
      </c>
      <c r="E691" s="9" t="s">
        <v>2190</v>
      </c>
      <c r="F691" s="9">
        <v>500000</v>
      </c>
      <c r="G691" s="8">
        <v>7832</v>
      </c>
      <c r="H691" s="4">
        <f t="shared" si="477"/>
        <v>0</v>
      </c>
      <c r="I691" s="4">
        <f t="shared" si="478"/>
        <v>0</v>
      </c>
      <c r="J691" s="4">
        <f t="shared" si="479"/>
        <v>0</v>
      </c>
      <c r="K691" s="4">
        <f t="shared" si="480"/>
        <v>7832</v>
      </c>
      <c r="L691" s="4">
        <f t="shared" si="481"/>
        <v>0</v>
      </c>
      <c r="M691" s="4">
        <f t="shared" si="482"/>
        <v>0</v>
      </c>
      <c r="N691" s="4">
        <f t="shared" si="483"/>
        <v>7832</v>
      </c>
      <c r="O691" s="5">
        <f t="shared" si="484"/>
        <v>62</v>
      </c>
      <c r="P691" s="6" t="str">
        <f t="shared" si="485"/>
        <v>61 To 90 Days</v>
      </c>
      <c r="Q691" s="7">
        <v>42855</v>
      </c>
      <c r="R691" s="6" t="s">
        <v>2178</v>
      </c>
      <c r="Y691" s="1" t="str">
        <f>"4540130567"</f>
        <v>4540130567</v>
      </c>
    </row>
    <row r="692" spans="1:25" x14ac:dyDescent="0.2">
      <c r="A692" s="9" t="s">
        <v>1996</v>
      </c>
      <c r="B692" s="10">
        <v>42836</v>
      </c>
      <c r="C692" s="9" t="s">
        <v>1997</v>
      </c>
      <c r="D692" s="9" t="s">
        <v>17</v>
      </c>
      <c r="E692" s="9" t="s">
        <v>2190</v>
      </c>
      <c r="F692" s="9">
        <v>500000</v>
      </c>
      <c r="G692" s="8">
        <v>7844</v>
      </c>
      <c r="H692" s="4">
        <f t="shared" si="477"/>
        <v>7844</v>
      </c>
      <c r="I692" s="4">
        <f t="shared" si="478"/>
        <v>0</v>
      </c>
      <c r="J692" s="4">
        <f t="shared" si="479"/>
        <v>0</v>
      </c>
      <c r="K692" s="4">
        <f t="shared" si="480"/>
        <v>0</v>
      </c>
      <c r="L692" s="4">
        <f t="shared" si="481"/>
        <v>0</v>
      </c>
      <c r="M692" s="4">
        <f t="shared" si="482"/>
        <v>0</v>
      </c>
      <c r="N692" s="4">
        <f t="shared" si="483"/>
        <v>0</v>
      </c>
      <c r="O692" s="5">
        <f t="shared" si="484"/>
        <v>19</v>
      </c>
      <c r="P692" s="6" t="str">
        <f t="shared" si="485"/>
        <v>30 Days</v>
      </c>
      <c r="Q692" s="7">
        <v>42855</v>
      </c>
      <c r="R692" s="6" t="str">
        <f>VLOOKUP(A692:A5237,[1]BOM_INV_OPERATOR_DETAILS_OUTPUT!$A$2:$D$1233,4,FALSE)</f>
        <v>AI</v>
      </c>
      <c r="Y692" s="1" t="str">
        <f>"417268540"</f>
        <v>417268540</v>
      </c>
    </row>
    <row r="693" spans="1:25" x14ac:dyDescent="0.2">
      <c r="A693" s="9" t="s">
        <v>531</v>
      </c>
      <c r="B693" s="10">
        <v>42776</v>
      </c>
      <c r="C693" s="9" t="s">
        <v>532</v>
      </c>
      <c r="D693" s="9" t="s">
        <v>20</v>
      </c>
      <c r="E693" s="9" t="s">
        <v>2190</v>
      </c>
      <c r="F693" s="9">
        <v>1000000</v>
      </c>
      <c r="G693" s="8">
        <v>7860</v>
      </c>
      <c r="H693" s="4">
        <f t="shared" si="477"/>
        <v>0</v>
      </c>
      <c r="I693" s="4">
        <f t="shared" si="478"/>
        <v>0</v>
      </c>
      <c r="J693" s="4">
        <f t="shared" si="479"/>
        <v>0</v>
      </c>
      <c r="K693" s="4">
        <f t="shared" si="480"/>
        <v>7860</v>
      </c>
      <c r="L693" s="4">
        <f t="shared" si="481"/>
        <v>0</v>
      </c>
      <c r="M693" s="4">
        <f t="shared" si="482"/>
        <v>0</v>
      </c>
      <c r="N693" s="4">
        <f t="shared" si="483"/>
        <v>7860</v>
      </c>
      <c r="O693" s="5">
        <f t="shared" si="484"/>
        <v>79</v>
      </c>
      <c r="P693" s="6" t="str">
        <f t="shared" si="485"/>
        <v>61 To 90 Days</v>
      </c>
      <c r="Q693" s="7">
        <v>42855</v>
      </c>
      <c r="R693" s="6" t="s">
        <v>2178</v>
      </c>
      <c r="Y693" s="1" t="str">
        <f>"4041691571"</f>
        <v>4041691571</v>
      </c>
    </row>
    <row r="694" spans="1:25" x14ac:dyDescent="0.2">
      <c r="A694" s="9" t="s">
        <v>1465</v>
      </c>
      <c r="B694" s="10">
        <v>42824</v>
      </c>
      <c r="C694" s="9" t="s">
        <v>1466</v>
      </c>
      <c r="D694" s="9" t="s">
        <v>270</v>
      </c>
      <c r="E694" s="9" t="s">
        <v>2190</v>
      </c>
      <c r="F694" s="9">
        <v>0</v>
      </c>
      <c r="G694" s="8">
        <v>7864</v>
      </c>
      <c r="H694" s="4">
        <f t="shared" si="477"/>
        <v>0</v>
      </c>
      <c r="I694" s="4">
        <f t="shared" si="478"/>
        <v>7864</v>
      </c>
      <c r="J694" s="4">
        <f t="shared" si="479"/>
        <v>0</v>
      </c>
      <c r="K694" s="4">
        <f t="shared" si="480"/>
        <v>0</v>
      </c>
      <c r="L694" s="4">
        <f t="shared" si="481"/>
        <v>0</v>
      </c>
      <c r="M694" s="4">
        <f t="shared" si="482"/>
        <v>0</v>
      </c>
      <c r="N694" s="4">
        <f t="shared" si="483"/>
        <v>0</v>
      </c>
      <c r="O694" s="5">
        <f t="shared" si="484"/>
        <v>31</v>
      </c>
      <c r="P694" s="6" t="str">
        <f t="shared" si="485"/>
        <v>31 TO 45 Days</v>
      </c>
      <c r="Q694" s="7">
        <v>42855</v>
      </c>
      <c r="R694" s="6" t="s">
        <v>2178</v>
      </c>
      <c r="Y694" s="1" t="str">
        <f>"4570270700"</f>
        <v>4570270700</v>
      </c>
    </row>
    <row r="695" spans="1:25" x14ac:dyDescent="0.2">
      <c r="A695" s="9" t="s">
        <v>937</v>
      </c>
      <c r="B695" s="10">
        <v>42802</v>
      </c>
      <c r="C695" s="9" t="s">
        <v>938</v>
      </c>
      <c r="D695" s="9" t="s">
        <v>133</v>
      </c>
      <c r="E695" s="9" t="s">
        <v>2190</v>
      </c>
      <c r="F695" s="9">
        <v>20000000</v>
      </c>
      <c r="G695" s="8">
        <v>7866</v>
      </c>
      <c r="H695" s="4">
        <f t="shared" si="477"/>
        <v>0</v>
      </c>
      <c r="I695" s="4">
        <f t="shared" si="478"/>
        <v>0</v>
      </c>
      <c r="J695" s="4">
        <f t="shared" si="479"/>
        <v>7866</v>
      </c>
      <c r="K695" s="4">
        <f t="shared" si="480"/>
        <v>0</v>
      </c>
      <c r="L695" s="4">
        <f t="shared" si="481"/>
        <v>0</v>
      </c>
      <c r="M695" s="4">
        <f t="shared" si="482"/>
        <v>0</v>
      </c>
      <c r="N695" s="4">
        <f t="shared" si="483"/>
        <v>0</v>
      </c>
      <c r="O695" s="5">
        <f t="shared" si="484"/>
        <v>53</v>
      </c>
      <c r="P695" s="6" t="str">
        <f t="shared" si="485"/>
        <v>46 To 60 Days</v>
      </c>
      <c r="Q695" s="7">
        <v>42855</v>
      </c>
      <c r="R695" s="6" t="s">
        <v>2178</v>
      </c>
      <c r="V695" s="1" t="s">
        <v>13</v>
      </c>
      <c r="W695" s="2">
        <v>42802</v>
      </c>
      <c r="X695" s="1" t="s">
        <v>14</v>
      </c>
      <c r="Y695" s="1" t="str">
        <f>"4210171747"</f>
        <v>4210171747</v>
      </c>
    </row>
    <row r="696" spans="1:25" x14ac:dyDescent="0.2">
      <c r="A696" s="9" t="s">
        <v>403</v>
      </c>
      <c r="B696" s="10">
        <v>42763</v>
      </c>
      <c r="C696" s="9" t="s">
        <v>404</v>
      </c>
      <c r="D696" s="9" t="s">
        <v>133</v>
      </c>
      <c r="E696" s="9" t="s">
        <v>2190</v>
      </c>
      <c r="F696" s="9">
        <v>20000000</v>
      </c>
      <c r="G696" s="8">
        <v>7871</v>
      </c>
      <c r="H696" s="4">
        <f t="shared" si="477"/>
        <v>0</v>
      </c>
      <c r="I696" s="4">
        <f t="shared" si="478"/>
        <v>0</v>
      </c>
      <c r="J696" s="4">
        <f t="shared" si="479"/>
        <v>0</v>
      </c>
      <c r="K696" s="4">
        <f t="shared" si="480"/>
        <v>0</v>
      </c>
      <c r="L696" s="4">
        <f t="shared" si="481"/>
        <v>7871</v>
      </c>
      <c r="M696" s="4">
        <f t="shared" si="482"/>
        <v>0</v>
      </c>
      <c r="N696" s="4">
        <f t="shared" si="483"/>
        <v>7871</v>
      </c>
      <c r="O696" s="5">
        <f t="shared" si="484"/>
        <v>92</v>
      </c>
      <c r="P696" s="6" t="str">
        <f t="shared" si="485"/>
        <v>91 To 120 Days</v>
      </c>
      <c r="Q696" s="7">
        <v>42855</v>
      </c>
      <c r="R696" s="6" t="s">
        <v>2178</v>
      </c>
      <c r="V696" s="1" t="s">
        <v>13</v>
      </c>
      <c r="W696" s="2">
        <v>42765</v>
      </c>
      <c r="X696" s="1" t="s">
        <v>14</v>
      </c>
      <c r="Y696" s="1" t="str">
        <f>"4711225199"</f>
        <v>4711225199</v>
      </c>
    </row>
    <row r="697" spans="1:25" x14ac:dyDescent="0.2">
      <c r="A697" s="9" t="s">
        <v>2150</v>
      </c>
      <c r="B697" s="10">
        <v>42840</v>
      </c>
      <c r="C697" s="9" t="s">
        <v>2151</v>
      </c>
      <c r="D697" s="9" t="s">
        <v>2149</v>
      </c>
      <c r="E697" s="9" t="s">
        <v>2190</v>
      </c>
      <c r="F697" s="9">
        <v>0</v>
      </c>
      <c r="G697" s="8">
        <v>7871</v>
      </c>
      <c r="H697" s="4">
        <f t="shared" si="477"/>
        <v>7871</v>
      </c>
      <c r="I697" s="4">
        <f t="shared" si="478"/>
        <v>0</v>
      </c>
      <c r="J697" s="4">
        <f t="shared" si="479"/>
        <v>0</v>
      </c>
      <c r="K697" s="4">
        <f t="shared" si="480"/>
        <v>0</v>
      </c>
      <c r="L697" s="4">
        <f t="shared" si="481"/>
        <v>0</v>
      </c>
      <c r="M697" s="4">
        <f t="shared" si="482"/>
        <v>0</v>
      </c>
      <c r="N697" s="4">
        <f t="shared" si="483"/>
        <v>0</v>
      </c>
      <c r="O697" s="5">
        <f t="shared" si="484"/>
        <v>15</v>
      </c>
      <c r="P697" s="6" t="str">
        <f t="shared" si="485"/>
        <v>30 Days</v>
      </c>
      <c r="Q697" s="7">
        <v>42855</v>
      </c>
      <c r="R697" s="6" t="str">
        <f>VLOOKUP(A697:A5247,[1]BOM_INV_OPERATOR_DETAILS_OUTPUT!$A$2:$D$1233,4,FALSE)</f>
        <v>AI</v>
      </c>
      <c r="Y697" s="1" t="str">
        <f>"4812080186"</f>
        <v>4812080186</v>
      </c>
    </row>
    <row r="698" spans="1:25" x14ac:dyDescent="0.2">
      <c r="A698" s="9" t="s">
        <v>1154</v>
      </c>
      <c r="B698" s="10">
        <v>42815</v>
      </c>
      <c r="C698" s="9" t="s">
        <v>1155</v>
      </c>
      <c r="D698" s="9" t="s">
        <v>140</v>
      </c>
      <c r="E698" s="9" t="s">
        <v>2190</v>
      </c>
      <c r="F698" s="9">
        <v>0</v>
      </c>
      <c r="G698" s="8">
        <v>7884</v>
      </c>
      <c r="H698" s="4">
        <f t="shared" si="477"/>
        <v>0</v>
      </c>
      <c r="I698" s="4">
        <f t="shared" si="478"/>
        <v>7884</v>
      </c>
      <c r="J698" s="4">
        <f t="shared" si="479"/>
        <v>0</v>
      </c>
      <c r="K698" s="4">
        <f t="shared" si="480"/>
        <v>0</v>
      </c>
      <c r="L698" s="4">
        <f t="shared" si="481"/>
        <v>0</v>
      </c>
      <c r="M698" s="4">
        <f t="shared" si="482"/>
        <v>0</v>
      </c>
      <c r="N698" s="4">
        <f t="shared" si="483"/>
        <v>0</v>
      </c>
      <c r="O698" s="5">
        <f t="shared" si="484"/>
        <v>40</v>
      </c>
      <c r="P698" s="6" t="str">
        <f t="shared" si="485"/>
        <v>31 TO 45 Days</v>
      </c>
      <c r="Q698" s="7">
        <v>42855</v>
      </c>
      <c r="R698" s="6" t="s">
        <v>2178</v>
      </c>
      <c r="Y698" s="1" t="str">
        <f>"4812073348"</f>
        <v>4812073348</v>
      </c>
    </row>
    <row r="699" spans="1:25" x14ac:dyDescent="0.2">
      <c r="A699" s="9" t="s">
        <v>1948</v>
      </c>
      <c r="B699" s="10">
        <v>42835</v>
      </c>
      <c r="C699" s="9" t="s">
        <v>1949</v>
      </c>
      <c r="D699" s="9" t="s">
        <v>158</v>
      </c>
      <c r="E699" s="9" t="s">
        <v>2190</v>
      </c>
      <c r="F699" s="9">
        <v>0</v>
      </c>
      <c r="G699" s="8">
        <v>7886</v>
      </c>
      <c r="H699" s="4">
        <f t="shared" si="477"/>
        <v>7886</v>
      </c>
      <c r="I699" s="4">
        <f t="shared" si="478"/>
        <v>0</v>
      </c>
      <c r="J699" s="4">
        <f t="shared" si="479"/>
        <v>0</v>
      </c>
      <c r="K699" s="4">
        <f t="shared" si="480"/>
        <v>0</v>
      </c>
      <c r="L699" s="4">
        <f t="shared" si="481"/>
        <v>0</v>
      </c>
      <c r="M699" s="4">
        <f t="shared" si="482"/>
        <v>0</v>
      </c>
      <c r="N699" s="4">
        <f t="shared" si="483"/>
        <v>0</v>
      </c>
      <c r="O699" s="5">
        <f t="shared" si="484"/>
        <v>20</v>
      </c>
      <c r="P699" s="6" t="str">
        <f t="shared" si="485"/>
        <v>30 Days</v>
      </c>
      <c r="Q699" s="7">
        <v>42855</v>
      </c>
      <c r="R699" s="6" t="str">
        <f>VLOOKUP(A699:A5250,[1]BOM_INV_OPERATOR_DETAILS_OUTPUT!$A$2:$D$1233,4,FALSE)</f>
        <v>AI</v>
      </c>
      <c r="Y699" s="1" t="str">
        <f>"4711242229"</f>
        <v>4711242229</v>
      </c>
    </row>
    <row r="700" spans="1:25" x14ac:dyDescent="0.2">
      <c r="A700" s="9" t="s">
        <v>1943</v>
      </c>
      <c r="B700" s="10">
        <v>42835</v>
      </c>
      <c r="C700" s="9" t="s">
        <v>1944</v>
      </c>
      <c r="D700" s="9" t="s">
        <v>666</v>
      </c>
      <c r="E700" s="9" t="s">
        <v>2190</v>
      </c>
      <c r="F700" s="9">
        <v>3377500</v>
      </c>
      <c r="G700" s="8">
        <v>7895</v>
      </c>
      <c r="H700" s="4">
        <f t="shared" si="477"/>
        <v>7895</v>
      </c>
      <c r="I700" s="4">
        <f t="shared" si="478"/>
        <v>0</v>
      </c>
      <c r="J700" s="4">
        <f t="shared" si="479"/>
        <v>0</v>
      </c>
      <c r="K700" s="4">
        <f t="shared" si="480"/>
        <v>0</v>
      </c>
      <c r="L700" s="4">
        <f t="shared" si="481"/>
        <v>0</v>
      </c>
      <c r="M700" s="4">
        <f t="shared" si="482"/>
        <v>0</v>
      </c>
      <c r="N700" s="4">
        <f t="shared" si="483"/>
        <v>0</v>
      </c>
      <c r="O700" s="5">
        <f t="shared" si="484"/>
        <v>20</v>
      </c>
      <c r="P700" s="6" t="str">
        <f t="shared" si="485"/>
        <v>30 Days</v>
      </c>
      <c r="Q700" s="7">
        <v>42855</v>
      </c>
      <c r="R700" s="6" t="str">
        <f>VLOOKUP(A700:A5252,[1]BOM_INV_OPERATOR_DETAILS_OUTPUT!$A$2:$D$1233,4,FALSE)</f>
        <v>AI</v>
      </c>
      <c r="S700" s="1">
        <v>120.42</v>
      </c>
      <c r="T700" s="1" t="s">
        <v>31</v>
      </c>
      <c r="V700" s="1" t="s">
        <v>13</v>
      </c>
      <c r="W700" s="2">
        <v>42835</v>
      </c>
      <c r="X700" s="1" t="s">
        <v>14</v>
      </c>
      <c r="Y700" s="1" t="s">
        <v>1945</v>
      </c>
    </row>
    <row r="701" spans="1:25" x14ac:dyDescent="0.2">
      <c r="A701" s="9" t="s">
        <v>282</v>
      </c>
      <c r="B701" s="10">
        <v>42745</v>
      </c>
      <c r="C701" s="9" t="s">
        <v>283</v>
      </c>
      <c r="D701" s="9" t="s">
        <v>255</v>
      </c>
      <c r="E701" s="9" t="s">
        <v>2190</v>
      </c>
      <c r="F701" s="9">
        <v>0</v>
      </c>
      <c r="G701" s="8">
        <v>7929</v>
      </c>
      <c r="H701" s="4">
        <f t="shared" si="477"/>
        <v>0</v>
      </c>
      <c r="I701" s="4">
        <f t="shared" si="478"/>
        <v>0</v>
      </c>
      <c r="J701" s="4">
        <f t="shared" si="479"/>
        <v>0</v>
      </c>
      <c r="K701" s="4">
        <f t="shared" si="480"/>
        <v>0</v>
      </c>
      <c r="L701" s="4">
        <f t="shared" si="481"/>
        <v>7929</v>
      </c>
      <c r="M701" s="4">
        <f t="shared" si="482"/>
        <v>0</v>
      </c>
      <c r="N701" s="4">
        <f t="shared" si="483"/>
        <v>7929</v>
      </c>
      <c r="O701" s="5">
        <f t="shared" si="484"/>
        <v>110</v>
      </c>
      <c r="P701" s="6" t="str">
        <f t="shared" si="485"/>
        <v>91 To 120 Days</v>
      </c>
      <c r="Q701" s="7">
        <v>42855</v>
      </c>
      <c r="R701" s="6" t="s">
        <v>2178</v>
      </c>
      <c r="Y701" s="1" t="str">
        <f>"4041688102"</f>
        <v>4041688102</v>
      </c>
    </row>
    <row r="702" spans="1:25" x14ac:dyDescent="0.2">
      <c r="A702" s="9" t="s">
        <v>258</v>
      </c>
      <c r="B702" s="10">
        <v>42738</v>
      </c>
      <c r="C702" s="9" t="s">
        <v>259</v>
      </c>
      <c r="D702" s="9" t="s">
        <v>133</v>
      </c>
      <c r="E702" s="9" t="s">
        <v>2190</v>
      </c>
      <c r="F702" s="9">
        <v>20000000</v>
      </c>
      <c r="G702" s="8">
        <v>7934</v>
      </c>
      <c r="H702" s="4">
        <f t="shared" si="477"/>
        <v>0</v>
      </c>
      <c r="I702" s="4">
        <f t="shared" si="478"/>
        <v>0</v>
      </c>
      <c r="J702" s="4">
        <f t="shared" si="479"/>
        <v>0</v>
      </c>
      <c r="K702" s="4">
        <f t="shared" si="480"/>
        <v>0</v>
      </c>
      <c r="L702" s="4">
        <f t="shared" si="481"/>
        <v>7934</v>
      </c>
      <c r="M702" s="4">
        <f t="shared" si="482"/>
        <v>0</v>
      </c>
      <c r="N702" s="4">
        <f t="shared" si="483"/>
        <v>7934</v>
      </c>
      <c r="O702" s="5">
        <f t="shared" si="484"/>
        <v>117</v>
      </c>
      <c r="P702" s="6" t="str">
        <f t="shared" si="485"/>
        <v>91 To 120 Days</v>
      </c>
      <c r="Q702" s="7">
        <v>42855</v>
      </c>
      <c r="R702" s="6" t="s">
        <v>2178</v>
      </c>
      <c r="V702" s="1" t="s">
        <v>13</v>
      </c>
      <c r="Y702" s="1" t="str">
        <f>"411286020"</f>
        <v>411286020</v>
      </c>
    </row>
    <row r="703" spans="1:25" x14ac:dyDescent="0.2">
      <c r="A703" s="9" t="s">
        <v>260</v>
      </c>
      <c r="B703" s="10">
        <v>42738</v>
      </c>
      <c r="C703" s="9" t="s">
        <v>261</v>
      </c>
      <c r="D703" s="9" t="s">
        <v>133</v>
      </c>
      <c r="E703" s="9" t="s">
        <v>2190</v>
      </c>
      <c r="F703" s="9">
        <v>20000000</v>
      </c>
      <c r="G703" s="8">
        <v>7934</v>
      </c>
      <c r="H703" s="4">
        <f t="shared" si="477"/>
        <v>0</v>
      </c>
      <c r="I703" s="4">
        <f t="shared" si="478"/>
        <v>0</v>
      </c>
      <c r="J703" s="4">
        <f t="shared" si="479"/>
        <v>0</v>
      </c>
      <c r="K703" s="4">
        <f t="shared" si="480"/>
        <v>0</v>
      </c>
      <c r="L703" s="4">
        <f t="shared" si="481"/>
        <v>7934</v>
      </c>
      <c r="M703" s="4">
        <f t="shared" si="482"/>
        <v>0</v>
      </c>
      <c r="N703" s="4">
        <f t="shared" si="483"/>
        <v>7934</v>
      </c>
      <c r="O703" s="5">
        <f t="shared" si="484"/>
        <v>117</v>
      </c>
      <c r="P703" s="6" t="str">
        <f t="shared" si="485"/>
        <v>91 To 120 Days</v>
      </c>
      <c r="Q703" s="7">
        <v>42855</v>
      </c>
      <c r="R703" s="6" t="s">
        <v>2178</v>
      </c>
      <c r="V703" s="1" t="s">
        <v>13</v>
      </c>
      <c r="Y703" s="1" t="str">
        <f>"411286021"</f>
        <v>411286021</v>
      </c>
    </row>
    <row r="704" spans="1:25" x14ac:dyDescent="0.2">
      <c r="A704" s="9" t="s">
        <v>262</v>
      </c>
      <c r="B704" s="10">
        <v>42738</v>
      </c>
      <c r="C704" s="9" t="s">
        <v>263</v>
      </c>
      <c r="D704" s="9" t="s">
        <v>133</v>
      </c>
      <c r="E704" s="9" t="s">
        <v>2190</v>
      </c>
      <c r="F704" s="9">
        <v>20000000</v>
      </c>
      <c r="G704" s="8">
        <v>7934</v>
      </c>
      <c r="H704" s="4">
        <f t="shared" si="477"/>
        <v>0</v>
      </c>
      <c r="I704" s="4">
        <f t="shared" si="478"/>
        <v>0</v>
      </c>
      <c r="J704" s="4">
        <f t="shared" si="479"/>
        <v>0</v>
      </c>
      <c r="K704" s="4">
        <f t="shared" si="480"/>
        <v>0</v>
      </c>
      <c r="L704" s="4">
        <f t="shared" si="481"/>
        <v>7934</v>
      </c>
      <c r="M704" s="4">
        <f t="shared" si="482"/>
        <v>0</v>
      </c>
      <c r="N704" s="4">
        <f t="shared" si="483"/>
        <v>7934</v>
      </c>
      <c r="O704" s="5">
        <f t="shared" si="484"/>
        <v>117</v>
      </c>
      <c r="P704" s="6" t="str">
        <f t="shared" si="485"/>
        <v>91 To 120 Days</v>
      </c>
      <c r="Q704" s="7">
        <v>42855</v>
      </c>
      <c r="R704" s="6" t="s">
        <v>2178</v>
      </c>
      <c r="V704" s="1" t="s">
        <v>13</v>
      </c>
      <c r="Y704" s="1" t="str">
        <f>"411286022"</f>
        <v>411286022</v>
      </c>
    </row>
    <row r="705" spans="1:25" x14ac:dyDescent="0.2">
      <c r="A705" s="9" t="s">
        <v>264</v>
      </c>
      <c r="B705" s="10">
        <v>42738</v>
      </c>
      <c r="C705" s="9" t="s">
        <v>265</v>
      </c>
      <c r="D705" s="9" t="s">
        <v>133</v>
      </c>
      <c r="E705" s="9" t="s">
        <v>2190</v>
      </c>
      <c r="F705" s="9">
        <v>20000000</v>
      </c>
      <c r="G705" s="8">
        <v>7934</v>
      </c>
      <c r="H705" s="4">
        <f t="shared" si="477"/>
        <v>0</v>
      </c>
      <c r="I705" s="4">
        <f t="shared" si="478"/>
        <v>0</v>
      </c>
      <c r="J705" s="4">
        <f t="shared" si="479"/>
        <v>0</v>
      </c>
      <c r="K705" s="4">
        <f t="shared" si="480"/>
        <v>0</v>
      </c>
      <c r="L705" s="4">
        <f t="shared" si="481"/>
        <v>7934</v>
      </c>
      <c r="M705" s="4">
        <f t="shared" si="482"/>
        <v>0</v>
      </c>
      <c r="N705" s="4">
        <f t="shared" si="483"/>
        <v>7934</v>
      </c>
      <c r="O705" s="5">
        <f t="shared" si="484"/>
        <v>117</v>
      </c>
      <c r="P705" s="6" t="str">
        <f t="shared" si="485"/>
        <v>91 To 120 Days</v>
      </c>
      <c r="Q705" s="7">
        <v>42855</v>
      </c>
      <c r="R705" s="6" t="s">
        <v>2178</v>
      </c>
      <c r="V705" s="1" t="s">
        <v>13</v>
      </c>
      <c r="Y705" s="1" t="str">
        <f>"411286023"</f>
        <v>411286023</v>
      </c>
    </row>
    <row r="706" spans="1:25" x14ac:dyDescent="0.2">
      <c r="A706" s="9" t="s">
        <v>1415</v>
      </c>
      <c r="B706" s="10">
        <v>42822</v>
      </c>
      <c r="C706" s="9" t="s">
        <v>1416</v>
      </c>
      <c r="D706" s="9" t="s">
        <v>17</v>
      </c>
      <c r="E706" s="9" t="s">
        <v>2190</v>
      </c>
      <c r="F706" s="9">
        <v>500000</v>
      </c>
      <c r="G706" s="8">
        <v>7942</v>
      </c>
      <c r="H706" s="4">
        <f t="shared" ref="H706:H744" si="486">IF(O706&lt;=30,G706,0)</f>
        <v>0</v>
      </c>
      <c r="I706" s="4">
        <f t="shared" ref="I706:I744" si="487">IF(AND(O706&gt;30,O706&lt;=45),G706,0)</f>
        <v>7942</v>
      </c>
      <c r="J706" s="4">
        <f t="shared" ref="J706:J744" si="488">IF(AND(O706&gt;45,O706&lt;=60),G706,0)</f>
        <v>0</v>
      </c>
      <c r="K706" s="4">
        <f t="shared" ref="K706:K744" si="489">IF(AND(O706&gt;60,O706&lt;=90),G706,0)</f>
        <v>0</v>
      </c>
      <c r="L706" s="4">
        <f t="shared" ref="L706:L744" si="490">IF(AND(O706&gt;90,O706&lt;=120),G706,0)</f>
        <v>0</v>
      </c>
      <c r="M706" s="4">
        <f t="shared" ref="M706:M744" si="491">IF(O706&gt;120,G706,0)</f>
        <v>0</v>
      </c>
      <c r="N706" s="4">
        <f t="shared" ref="N706:N744" si="492">IF(O706&gt;60,G706,0)</f>
        <v>0</v>
      </c>
      <c r="O706" s="5">
        <f t="shared" ref="O706:O744" si="493">Q706-B706</f>
        <v>33</v>
      </c>
      <c r="P706" s="6" t="str">
        <f t="shared" ref="P706:P744" si="494">IF(AND(O706&lt;=30),"30 Days",IF(AND(O706&gt;30,O706&lt;=45),"31 TO 45 Days",IF(AND(O706&gt;45,O706&lt;=60),"46 To 60 Days",IF(AND(O706&gt;60,O706&lt;=90),"61 To 90 Days",IF(AND(O706&gt;90,O706&lt;=120),"91 To 120 Days",IF(AND(O706&gt;120),"Plus120Days",))))))</f>
        <v>31 TO 45 Days</v>
      </c>
      <c r="Q706" s="7">
        <v>42855</v>
      </c>
      <c r="R706" s="6" t="s">
        <v>2178</v>
      </c>
      <c r="Y706" s="1" t="str">
        <f>"417268371"</f>
        <v>417268371</v>
      </c>
    </row>
    <row r="707" spans="1:25" x14ac:dyDescent="0.2">
      <c r="A707" s="9" t="s">
        <v>886</v>
      </c>
      <c r="B707" s="10">
        <v>42798</v>
      </c>
      <c r="C707" s="9" t="s">
        <v>887</v>
      </c>
      <c r="D707" s="9" t="s">
        <v>41</v>
      </c>
      <c r="E707" s="9" t="s">
        <v>2190</v>
      </c>
      <c r="F707" s="9">
        <v>500000</v>
      </c>
      <c r="G707" s="8">
        <v>7943</v>
      </c>
      <c r="H707" s="4">
        <f t="shared" si="486"/>
        <v>0</v>
      </c>
      <c r="I707" s="4">
        <f t="shared" si="487"/>
        <v>0</v>
      </c>
      <c r="J707" s="4">
        <f t="shared" si="488"/>
        <v>7943</v>
      </c>
      <c r="K707" s="4">
        <f t="shared" si="489"/>
        <v>0</v>
      </c>
      <c r="L707" s="4">
        <f t="shared" si="490"/>
        <v>0</v>
      </c>
      <c r="M707" s="4">
        <f t="shared" si="491"/>
        <v>0</v>
      </c>
      <c r="N707" s="4">
        <f t="shared" si="492"/>
        <v>0</v>
      </c>
      <c r="O707" s="5">
        <f t="shared" si="493"/>
        <v>57</v>
      </c>
      <c r="P707" s="6" t="str">
        <f t="shared" si="494"/>
        <v>46 To 60 Days</v>
      </c>
      <c r="Q707" s="7">
        <v>42855</v>
      </c>
      <c r="R707" s="6" t="s">
        <v>2178</v>
      </c>
      <c r="Y707" s="1" t="str">
        <f>"4930435309"</f>
        <v>4930435309</v>
      </c>
    </row>
    <row r="708" spans="1:25" x14ac:dyDescent="0.2">
      <c r="A708" s="9" t="s">
        <v>1642</v>
      </c>
      <c r="B708" s="10">
        <v>42828</v>
      </c>
      <c r="C708" s="9" t="s">
        <v>1643</v>
      </c>
      <c r="D708" s="9" t="s">
        <v>32</v>
      </c>
      <c r="E708" s="9" t="s">
        <v>2190</v>
      </c>
      <c r="F708" s="9">
        <v>25000000</v>
      </c>
      <c r="G708" s="8">
        <v>7947</v>
      </c>
      <c r="H708" s="4">
        <f t="shared" si="486"/>
        <v>7947</v>
      </c>
      <c r="I708" s="4">
        <f t="shared" si="487"/>
        <v>0</v>
      </c>
      <c r="J708" s="4">
        <f t="shared" si="488"/>
        <v>0</v>
      </c>
      <c r="K708" s="4">
        <f t="shared" si="489"/>
        <v>0</v>
      </c>
      <c r="L708" s="4">
        <f t="shared" si="490"/>
        <v>0</v>
      </c>
      <c r="M708" s="4">
        <f t="shared" si="491"/>
        <v>0</v>
      </c>
      <c r="N708" s="4">
        <f t="shared" si="492"/>
        <v>0</v>
      </c>
      <c r="O708" s="5">
        <f t="shared" si="493"/>
        <v>27</v>
      </c>
      <c r="P708" s="6" t="str">
        <f t="shared" si="494"/>
        <v>30 Days</v>
      </c>
      <c r="Q708" s="7">
        <v>42855</v>
      </c>
      <c r="R708" s="6" t="s">
        <v>2178</v>
      </c>
      <c r="V708" s="1" t="s">
        <v>13</v>
      </c>
      <c r="W708" s="2">
        <v>42828</v>
      </c>
      <c r="X708" s="1" t="s">
        <v>14</v>
      </c>
      <c r="Y708" s="1" t="str">
        <f>"4052209013"</f>
        <v>4052209013</v>
      </c>
    </row>
    <row r="709" spans="1:25" x14ac:dyDescent="0.2">
      <c r="A709" s="9" t="s">
        <v>1648</v>
      </c>
      <c r="B709" s="10">
        <v>42828</v>
      </c>
      <c r="C709" s="9" t="s">
        <v>1649</v>
      </c>
      <c r="D709" s="9" t="s">
        <v>164</v>
      </c>
      <c r="E709" s="9" t="s">
        <v>2190</v>
      </c>
      <c r="F709" s="9">
        <v>0</v>
      </c>
      <c r="G709" s="8">
        <v>7960</v>
      </c>
      <c r="H709" s="4">
        <f t="shared" si="486"/>
        <v>7960</v>
      </c>
      <c r="I709" s="4">
        <f t="shared" si="487"/>
        <v>0</v>
      </c>
      <c r="J709" s="4">
        <f t="shared" si="488"/>
        <v>0</v>
      </c>
      <c r="K709" s="4">
        <f t="shared" si="489"/>
        <v>0</v>
      </c>
      <c r="L709" s="4">
        <f t="shared" si="490"/>
        <v>0</v>
      </c>
      <c r="M709" s="4">
        <f t="shared" si="491"/>
        <v>0</v>
      </c>
      <c r="N709" s="4">
        <f t="shared" si="492"/>
        <v>0</v>
      </c>
      <c r="O709" s="5">
        <f t="shared" si="493"/>
        <v>27</v>
      </c>
      <c r="P709" s="6" t="str">
        <f t="shared" si="494"/>
        <v>30 Days</v>
      </c>
      <c r="Q709" s="7">
        <v>42855</v>
      </c>
      <c r="R709" s="6" t="s">
        <v>2178</v>
      </c>
      <c r="Y709" s="1" t="str">
        <f>"4711241259"</f>
        <v>4711241259</v>
      </c>
    </row>
    <row r="710" spans="1:25" x14ac:dyDescent="0.2">
      <c r="A710" s="9" t="s">
        <v>1804</v>
      </c>
      <c r="B710" s="10">
        <v>42832</v>
      </c>
      <c r="C710" s="9" t="s">
        <v>1805</v>
      </c>
      <c r="D710" s="9" t="s">
        <v>164</v>
      </c>
      <c r="E710" s="9" t="s">
        <v>2190</v>
      </c>
      <c r="F710" s="9">
        <v>0</v>
      </c>
      <c r="G710" s="8">
        <v>7962</v>
      </c>
      <c r="H710" s="4">
        <f t="shared" si="486"/>
        <v>7962</v>
      </c>
      <c r="I710" s="4">
        <f t="shared" si="487"/>
        <v>0</v>
      </c>
      <c r="J710" s="4">
        <f t="shared" si="488"/>
        <v>0</v>
      </c>
      <c r="K710" s="4">
        <f t="shared" si="489"/>
        <v>0</v>
      </c>
      <c r="L710" s="4">
        <f t="shared" si="490"/>
        <v>0</v>
      </c>
      <c r="M710" s="4">
        <f t="shared" si="491"/>
        <v>0</v>
      </c>
      <c r="N710" s="4">
        <f t="shared" si="492"/>
        <v>0</v>
      </c>
      <c r="O710" s="5">
        <f t="shared" si="493"/>
        <v>23</v>
      </c>
      <c r="P710" s="6" t="str">
        <f t="shared" si="494"/>
        <v>30 Days</v>
      </c>
      <c r="Q710" s="7">
        <v>42855</v>
      </c>
      <c r="R710" s="6" t="s">
        <v>2178</v>
      </c>
      <c r="Y710" s="1" t="str">
        <f>"4711242371"</f>
        <v>4711242371</v>
      </c>
    </row>
    <row r="711" spans="1:25" x14ac:dyDescent="0.2">
      <c r="A711" s="9" t="s">
        <v>1071</v>
      </c>
      <c r="B711" s="10">
        <v>42812</v>
      </c>
      <c r="C711" s="9" t="s">
        <v>1072</v>
      </c>
      <c r="D711" s="9" t="s">
        <v>17</v>
      </c>
      <c r="E711" s="9" t="s">
        <v>2190</v>
      </c>
      <c r="F711" s="9">
        <v>500000</v>
      </c>
      <c r="G711" s="8">
        <v>7962</v>
      </c>
      <c r="H711" s="4">
        <f t="shared" si="486"/>
        <v>0</v>
      </c>
      <c r="I711" s="4">
        <f t="shared" si="487"/>
        <v>7962</v>
      </c>
      <c r="J711" s="4">
        <f t="shared" si="488"/>
        <v>0</v>
      </c>
      <c r="K711" s="4">
        <f t="shared" si="489"/>
        <v>0</v>
      </c>
      <c r="L711" s="4">
        <f t="shared" si="490"/>
        <v>0</v>
      </c>
      <c r="M711" s="4">
        <f t="shared" si="491"/>
        <v>0</v>
      </c>
      <c r="N711" s="4">
        <f t="shared" si="492"/>
        <v>0</v>
      </c>
      <c r="O711" s="5">
        <f t="shared" si="493"/>
        <v>43</v>
      </c>
      <c r="P711" s="6" t="str">
        <f t="shared" si="494"/>
        <v>31 TO 45 Days</v>
      </c>
      <c r="Q711" s="7">
        <v>42855</v>
      </c>
      <c r="R711" s="6" t="s">
        <v>2178</v>
      </c>
      <c r="Y711" s="1" t="str">
        <f>"417268313"</f>
        <v>417268313</v>
      </c>
    </row>
    <row r="712" spans="1:25" x14ac:dyDescent="0.2">
      <c r="A712" s="9" t="s">
        <v>1445</v>
      </c>
      <c r="B712" s="10">
        <v>42824</v>
      </c>
      <c r="C712" s="9" t="s">
        <v>1446</v>
      </c>
      <c r="D712" s="9" t="s">
        <v>20</v>
      </c>
      <c r="E712" s="9" t="s">
        <v>2190</v>
      </c>
      <c r="F712" s="9">
        <v>1000000</v>
      </c>
      <c r="G712" s="8">
        <v>7964</v>
      </c>
      <c r="H712" s="4">
        <f t="shared" si="486"/>
        <v>0</v>
      </c>
      <c r="I712" s="4">
        <f t="shared" si="487"/>
        <v>7964</v>
      </c>
      <c r="J712" s="4">
        <f t="shared" si="488"/>
        <v>0</v>
      </c>
      <c r="K712" s="4">
        <f t="shared" si="489"/>
        <v>0</v>
      </c>
      <c r="L712" s="4">
        <f t="shared" si="490"/>
        <v>0</v>
      </c>
      <c r="M712" s="4">
        <f t="shared" si="491"/>
        <v>0</v>
      </c>
      <c r="N712" s="4">
        <f t="shared" si="492"/>
        <v>0</v>
      </c>
      <c r="O712" s="5">
        <f t="shared" si="493"/>
        <v>31</v>
      </c>
      <c r="P712" s="6" t="str">
        <f t="shared" si="494"/>
        <v>31 TO 45 Days</v>
      </c>
      <c r="Q712" s="7">
        <v>42855</v>
      </c>
      <c r="R712" s="6" t="s">
        <v>2178</v>
      </c>
      <c r="V712" s="1" t="s">
        <v>51</v>
      </c>
      <c r="W712" s="2">
        <v>42824</v>
      </c>
      <c r="X712" s="1" t="s">
        <v>1447</v>
      </c>
      <c r="Y712" s="1" t="str">
        <f>"4041696048"</f>
        <v>4041696048</v>
      </c>
    </row>
    <row r="713" spans="1:25" x14ac:dyDescent="0.2">
      <c r="A713" s="9" t="s">
        <v>1483</v>
      </c>
      <c r="B713" s="10">
        <v>42824</v>
      </c>
      <c r="C713" s="9" t="s">
        <v>1484</v>
      </c>
      <c r="D713" s="9" t="s">
        <v>32</v>
      </c>
      <c r="E713" s="9" t="s">
        <v>2190</v>
      </c>
      <c r="F713" s="9">
        <v>25000000</v>
      </c>
      <c r="G713" s="8">
        <v>7975</v>
      </c>
      <c r="H713" s="4">
        <f t="shared" si="486"/>
        <v>0</v>
      </c>
      <c r="I713" s="4">
        <f t="shared" si="487"/>
        <v>7975</v>
      </c>
      <c r="J713" s="4">
        <f t="shared" si="488"/>
        <v>0</v>
      </c>
      <c r="K713" s="4">
        <f t="shared" si="489"/>
        <v>0</v>
      </c>
      <c r="L713" s="4">
        <f t="shared" si="490"/>
        <v>0</v>
      </c>
      <c r="M713" s="4">
        <f t="shared" si="491"/>
        <v>0</v>
      </c>
      <c r="N713" s="4">
        <f t="shared" si="492"/>
        <v>0</v>
      </c>
      <c r="O713" s="5">
        <f t="shared" si="493"/>
        <v>31</v>
      </c>
      <c r="P713" s="6" t="str">
        <f t="shared" si="494"/>
        <v>31 TO 45 Days</v>
      </c>
      <c r="Q713" s="7">
        <v>42855</v>
      </c>
      <c r="R713" s="6" t="s">
        <v>2178</v>
      </c>
      <c r="V713" s="1" t="s">
        <v>13</v>
      </c>
      <c r="W713" s="2">
        <v>42824</v>
      </c>
      <c r="X713" s="1" t="s">
        <v>14</v>
      </c>
      <c r="Y713" s="1" t="str">
        <f>"4052207936"</f>
        <v>4052207936</v>
      </c>
    </row>
    <row r="714" spans="1:25" x14ac:dyDescent="0.2">
      <c r="A714" s="9" t="s">
        <v>1385</v>
      </c>
      <c r="B714" s="10">
        <v>42822</v>
      </c>
      <c r="C714" s="9" t="s">
        <v>1386</v>
      </c>
      <c r="D714" s="9" t="s">
        <v>164</v>
      </c>
      <c r="E714" s="9" t="s">
        <v>2190</v>
      </c>
      <c r="F714" s="9">
        <v>0</v>
      </c>
      <c r="G714" s="8">
        <v>7982</v>
      </c>
      <c r="H714" s="4">
        <f t="shared" si="486"/>
        <v>0</v>
      </c>
      <c r="I714" s="4">
        <f t="shared" si="487"/>
        <v>7982</v>
      </c>
      <c r="J714" s="4">
        <f t="shared" si="488"/>
        <v>0</v>
      </c>
      <c r="K714" s="4">
        <f t="shared" si="489"/>
        <v>0</v>
      </c>
      <c r="L714" s="4">
        <f t="shared" si="490"/>
        <v>0</v>
      </c>
      <c r="M714" s="4">
        <f t="shared" si="491"/>
        <v>0</v>
      </c>
      <c r="N714" s="4">
        <f t="shared" si="492"/>
        <v>0</v>
      </c>
      <c r="O714" s="5">
        <f t="shared" si="493"/>
        <v>33</v>
      </c>
      <c r="P714" s="6" t="str">
        <f t="shared" si="494"/>
        <v>31 TO 45 Days</v>
      </c>
      <c r="Q714" s="7">
        <v>42855</v>
      </c>
      <c r="R714" s="6" t="s">
        <v>2178</v>
      </c>
      <c r="Y714" s="1" t="str">
        <f>"4711239123"</f>
        <v>4711239123</v>
      </c>
    </row>
    <row r="715" spans="1:25" x14ac:dyDescent="0.2">
      <c r="A715" s="9" t="s">
        <v>1556</v>
      </c>
      <c r="B715" s="10">
        <v>42825</v>
      </c>
      <c r="C715" s="9" t="s">
        <v>1557</v>
      </c>
      <c r="D715" s="9" t="s">
        <v>164</v>
      </c>
      <c r="E715" s="9" t="s">
        <v>2190</v>
      </c>
      <c r="F715" s="9">
        <v>0</v>
      </c>
      <c r="G715" s="8">
        <v>7987</v>
      </c>
      <c r="H715" s="4">
        <f t="shared" si="486"/>
        <v>7987</v>
      </c>
      <c r="I715" s="4">
        <f t="shared" si="487"/>
        <v>0</v>
      </c>
      <c r="J715" s="4">
        <f t="shared" si="488"/>
        <v>0</v>
      </c>
      <c r="K715" s="4">
        <f t="shared" si="489"/>
        <v>0</v>
      </c>
      <c r="L715" s="4">
        <f t="shared" si="490"/>
        <v>0</v>
      </c>
      <c r="M715" s="4">
        <f t="shared" si="491"/>
        <v>0</v>
      </c>
      <c r="N715" s="4">
        <f t="shared" si="492"/>
        <v>0</v>
      </c>
      <c r="O715" s="5">
        <f t="shared" si="493"/>
        <v>30</v>
      </c>
      <c r="P715" s="6" t="str">
        <f t="shared" si="494"/>
        <v>30 Days</v>
      </c>
      <c r="Q715" s="7">
        <v>42855</v>
      </c>
      <c r="R715" s="6" t="s">
        <v>2178</v>
      </c>
      <c r="Y715" s="1" t="str">
        <f>"4711239619"</f>
        <v>4711239619</v>
      </c>
    </row>
    <row r="716" spans="1:25" x14ac:dyDescent="0.2">
      <c r="A716" s="9" t="s">
        <v>1596</v>
      </c>
      <c r="B716" s="10">
        <v>42826</v>
      </c>
      <c r="C716" s="9" t="s">
        <v>1597</v>
      </c>
      <c r="D716" s="9" t="s">
        <v>164</v>
      </c>
      <c r="E716" s="9" t="s">
        <v>2190</v>
      </c>
      <c r="F716" s="9">
        <v>0</v>
      </c>
      <c r="G716" s="8">
        <v>7987</v>
      </c>
      <c r="H716" s="4">
        <f t="shared" si="486"/>
        <v>7987</v>
      </c>
      <c r="I716" s="4">
        <f t="shared" si="487"/>
        <v>0</v>
      </c>
      <c r="J716" s="4">
        <f t="shared" si="488"/>
        <v>0</v>
      </c>
      <c r="K716" s="4">
        <f t="shared" si="489"/>
        <v>0</v>
      </c>
      <c r="L716" s="4">
        <f t="shared" si="490"/>
        <v>0</v>
      </c>
      <c r="M716" s="4">
        <f t="shared" si="491"/>
        <v>0</v>
      </c>
      <c r="N716" s="4">
        <f t="shared" si="492"/>
        <v>0</v>
      </c>
      <c r="O716" s="5">
        <f t="shared" si="493"/>
        <v>29</v>
      </c>
      <c r="P716" s="6" t="str">
        <f t="shared" si="494"/>
        <v>30 Days</v>
      </c>
      <c r="Q716" s="7">
        <v>42855</v>
      </c>
      <c r="R716" s="6" t="s">
        <v>2178</v>
      </c>
      <c r="Y716" s="1" t="str">
        <f>"4711240271"</f>
        <v>4711240271</v>
      </c>
    </row>
    <row r="717" spans="1:25" x14ac:dyDescent="0.2">
      <c r="A717" s="9" t="s">
        <v>1362</v>
      </c>
      <c r="B717" s="10">
        <v>42822</v>
      </c>
      <c r="C717" s="9" t="s">
        <v>1363</v>
      </c>
      <c r="D717" s="9" t="s">
        <v>161</v>
      </c>
      <c r="E717" s="9" t="s">
        <v>2190</v>
      </c>
      <c r="F717" s="9">
        <v>0</v>
      </c>
      <c r="G717" s="8">
        <v>8001</v>
      </c>
      <c r="H717" s="4">
        <f t="shared" si="486"/>
        <v>0</v>
      </c>
      <c r="I717" s="4">
        <f t="shared" si="487"/>
        <v>8001</v>
      </c>
      <c r="J717" s="4">
        <f t="shared" si="488"/>
        <v>0</v>
      </c>
      <c r="K717" s="4">
        <f t="shared" si="489"/>
        <v>0</v>
      </c>
      <c r="L717" s="4">
        <f t="shared" si="490"/>
        <v>0</v>
      </c>
      <c r="M717" s="4">
        <f t="shared" si="491"/>
        <v>0</v>
      </c>
      <c r="N717" s="4">
        <f t="shared" si="492"/>
        <v>0</v>
      </c>
      <c r="O717" s="5">
        <f t="shared" si="493"/>
        <v>33</v>
      </c>
      <c r="P717" s="6" t="str">
        <f t="shared" si="494"/>
        <v>31 TO 45 Days</v>
      </c>
      <c r="Q717" s="7">
        <v>42855</v>
      </c>
      <c r="R717" s="6" t="s">
        <v>2178</v>
      </c>
      <c r="Y717" s="1" t="str">
        <f>"4711238373"</f>
        <v>4711238373</v>
      </c>
    </row>
    <row r="718" spans="1:25" x14ac:dyDescent="0.2">
      <c r="A718" s="9" t="s">
        <v>1391</v>
      </c>
      <c r="B718" s="10">
        <v>42822</v>
      </c>
      <c r="C718" s="9" t="s">
        <v>1392</v>
      </c>
      <c r="D718" s="9" t="s">
        <v>164</v>
      </c>
      <c r="E718" s="9" t="s">
        <v>2190</v>
      </c>
      <c r="F718" s="9">
        <v>0</v>
      </c>
      <c r="G718" s="8">
        <v>8002</v>
      </c>
      <c r="H718" s="4">
        <f t="shared" si="486"/>
        <v>0</v>
      </c>
      <c r="I718" s="4">
        <f t="shared" si="487"/>
        <v>8002</v>
      </c>
      <c r="J718" s="4">
        <f t="shared" si="488"/>
        <v>0</v>
      </c>
      <c r="K718" s="4">
        <f t="shared" si="489"/>
        <v>0</v>
      </c>
      <c r="L718" s="4">
        <f t="shared" si="490"/>
        <v>0</v>
      </c>
      <c r="M718" s="4">
        <f t="shared" si="491"/>
        <v>0</v>
      </c>
      <c r="N718" s="4">
        <f t="shared" si="492"/>
        <v>0</v>
      </c>
      <c r="O718" s="5">
        <f t="shared" si="493"/>
        <v>33</v>
      </c>
      <c r="P718" s="6" t="str">
        <f t="shared" si="494"/>
        <v>31 TO 45 Days</v>
      </c>
      <c r="Q718" s="7">
        <v>42855</v>
      </c>
      <c r="R718" s="6" t="s">
        <v>2178</v>
      </c>
      <c r="Y718" s="1" t="str">
        <f>"4711238746"</f>
        <v>4711238746</v>
      </c>
    </row>
    <row r="719" spans="1:25" x14ac:dyDescent="0.2">
      <c r="A719" s="9" t="s">
        <v>1399</v>
      </c>
      <c r="B719" s="10">
        <v>42822</v>
      </c>
      <c r="C719" s="9" t="s">
        <v>1400</v>
      </c>
      <c r="D719" s="9" t="s">
        <v>43</v>
      </c>
      <c r="E719" s="9" t="s">
        <v>2190</v>
      </c>
      <c r="F719" s="9">
        <v>50000</v>
      </c>
      <c r="G719" s="8">
        <v>8002</v>
      </c>
      <c r="H719" s="4">
        <f t="shared" si="486"/>
        <v>0</v>
      </c>
      <c r="I719" s="4">
        <f t="shared" si="487"/>
        <v>8002</v>
      </c>
      <c r="J719" s="4">
        <f t="shared" si="488"/>
        <v>0</v>
      </c>
      <c r="K719" s="4">
        <f t="shared" si="489"/>
        <v>0</v>
      </c>
      <c r="L719" s="4">
        <f t="shared" si="490"/>
        <v>0</v>
      </c>
      <c r="M719" s="4">
        <f t="shared" si="491"/>
        <v>0</v>
      </c>
      <c r="N719" s="4">
        <f t="shared" si="492"/>
        <v>0</v>
      </c>
      <c r="O719" s="5">
        <f t="shared" si="493"/>
        <v>33</v>
      </c>
      <c r="P719" s="6" t="str">
        <f t="shared" si="494"/>
        <v>31 TO 45 Days</v>
      </c>
      <c r="Q719" s="7">
        <v>42855</v>
      </c>
      <c r="R719" s="6" t="s">
        <v>2178</v>
      </c>
      <c r="Y719" s="1" t="str">
        <f>"4711237253"</f>
        <v>4711237253</v>
      </c>
    </row>
    <row r="720" spans="1:25" x14ac:dyDescent="0.2">
      <c r="A720" s="9" t="s">
        <v>1923</v>
      </c>
      <c r="B720" s="10">
        <v>42835</v>
      </c>
      <c r="C720" s="9" t="s">
        <v>1924</v>
      </c>
      <c r="D720" s="9" t="s">
        <v>133</v>
      </c>
      <c r="E720" s="9" t="s">
        <v>2190</v>
      </c>
      <c r="F720" s="9">
        <v>20000000</v>
      </c>
      <c r="G720" s="8">
        <v>8009</v>
      </c>
      <c r="H720" s="4">
        <f t="shared" si="486"/>
        <v>8009</v>
      </c>
      <c r="I720" s="4">
        <f t="shared" si="487"/>
        <v>0</v>
      </c>
      <c r="J720" s="4">
        <f t="shared" si="488"/>
        <v>0</v>
      </c>
      <c r="K720" s="4">
        <f t="shared" si="489"/>
        <v>0</v>
      </c>
      <c r="L720" s="4">
        <f t="shared" si="490"/>
        <v>0</v>
      </c>
      <c r="M720" s="4">
        <f t="shared" si="491"/>
        <v>0</v>
      </c>
      <c r="N720" s="4">
        <f t="shared" si="492"/>
        <v>0</v>
      </c>
      <c r="O720" s="5">
        <f t="shared" si="493"/>
        <v>20</v>
      </c>
      <c r="P720" s="6" t="str">
        <f t="shared" si="494"/>
        <v>30 Days</v>
      </c>
      <c r="Q720" s="7">
        <v>42855</v>
      </c>
      <c r="R720" s="6" t="str">
        <f>VLOOKUP(A720:A5285,[1]BOM_INV_OPERATOR_DETAILS_OUTPUT!$A$2:$D$1233,4,FALSE)</f>
        <v>AI</v>
      </c>
      <c r="V720" s="1" t="s">
        <v>13</v>
      </c>
      <c r="W720" s="2">
        <v>42835</v>
      </c>
      <c r="X720" s="1" t="s">
        <v>14</v>
      </c>
      <c r="Y720" s="1" t="s">
        <v>1925</v>
      </c>
    </row>
    <row r="721" spans="1:25" x14ac:dyDescent="0.2">
      <c r="A721" s="9" t="s">
        <v>1580</v>
      </c>
      <c r="B721" s="10">
        <v>42826</v>
      </c>
      <c r="C721" s="9" t="s">
        <v>1581</v>
      </c>
      <c r="D721" s="9" t="s">
        <v>17</v>
      </c>
      <c r="E721" s="9" t="s">
        <v>2190</v>
      </c>
      <c r="F721" s="9">
        <v>500000</v>
      </c>
      <c r="G721" s="8">
        <v>8011</v>
      </c>
      <c r="H721" s="4">
        <f t="shared" si="486"/>
        <v>8011</v>
      </c>
      <c r="I721" s="4">
        <f t="shared" si="487"/>
        <v>0</v>
      </c>
      <c r="J721" s="4">
        <f t="shared" si="488"/>
        <v>0</v>
      </c>
      <c r="K721" s="4">
        <f t="shared" si="489"/>
        <v>0</v>
      </c>
      <c r="L721" s="4">
        <f t="shared" si="490"/>
        <v>0</v>
      </c>
      <c r="M721" s="4">
        <f t="shared" si="491"/>
        <v>0</v>
      </c>
      <c r="N721" s="4">
        <f t="shared" si="492"/>
        <v>0</v>
      </c>
      <c r="O721" s="5">
        <f t="shared" si="493"/>
        <v>29</v>
      </c>
      <c r="P721" s="6" t="str">
        <f t="shared" si="494"/>
        <v>30 Days</v>
      </c>
      <c r="Q721" s="7">
        <v>42855</v>
      </c>
      <c r="R721" s="6" t="s">
        <v>2178</v>
      </c>
      <c r="Y721" s="1" t="str">
        <f>"417268442"</f>
        <v>417268442</v>
      </c>
    </row>
    <row r="722" spans="1:25" x14ac:dyDescent="0.2">
      <c r="A722" s="9" t="s">
        <v>1313</v>
      </c>
      <c r="B722" s="10">
        <v>42819</v>
      </c>
      <c r="C722" s="9" t="s">
        <v>1314</v>
      </c>
      <c r="D722" s="9" t="s">
        <v>148</v>
      </c>
      <c r="E722" s="9" t="s">
        <v>2190</v>
      </c>
      <c r="F722" s="9">
        <v>500000</v>
      </c>
      <c r="G722" s="8">
        <v>8017</v>
      </c>
      <c r="H722" s="4">
        <f t="shared" si="486"/>
        <v>0</v>
      </c>
      <c r="I722" s="4">
        <f t="shared" si="487"/>
        <v>8017</v>
      </c>
      <c r="J722" s="4">
        <f t="shared" si="488"/>
        <v>0</v>
      </c>
      <c r="K722" s="4">
        <f t="shared" si="489"/>
        <v>0</v>
      </c>
      <c r="L722" s="4">
        <f t="shared" si="490"/>
        <v>0</v>
      </c>
      <c r="M722" s="4">
        <f t="shared" si="491"/>
        <v>0</v>
      </c>
      <c r="N722" s="4">
        <f t="shared" si="492"/>
        <v>0</v>
      </c>
      <c r="O722" s="5">
        <f t="shared" si="493"/>
        <v>36</v>
      </c>
      <c r="P722" s="6" t="str">
        <f t="shared" si="494"/>
        <v>31 TO 45 Days</v>
      </c>
      <c r="Q722" s="7">
        <v>42855</v>
      </c>
      <c r="R722" s="6" t="s">
        <v>2178</v>
      </c>
      <c r="Y722" s="1" t="str">
        <f>"4540131353"</f>
        <v>4540131353</v>
      </c>
    </row>
    <row r="723" spans="1:25" x14ac:dyDescent="0.2">
      <c r="A723" s="9" t="s">
        <v>1028</v>
      </c>
      <c r="B723" s="10">
        <v>42810</v>
      </c>
      <c r="C723" s="9" t="s">
        <v>1029</v>
      </c>
      <c r="D723" s="9" t="s">
        <v>164</v>
      </c>
      <c r="E723" s="9" t="s">
        <v>2190</v>
      </c>
      <c r="F723" s="9">
        <v>0</v>
      </c>
      <c r="G723" s="8">
        <v>8022</v>
      </c>
      <c r="H723" s="4">
        <f t="shared" si="486"/>
        <v>0</v>
      </c>
      <c r="I723" s="4">
        <f t="shared" si="487"/>
        <v>8022</v>
      </c>
      <c r="J723" s="4">
        <f t="shared" si="488"/>
        <v>0</v>
      </c>
      <c r="K723" s="4">
        <f t="shared" si="489"/>
        <v>0</v>
      </c>
      <c r="L723" s="4">
        <f t="shared" si="490"/>
        <v>0</v>
      </c>
      <c r="M723" s="4">
        <f t="shared" si="491"/>
        <v>0</v>
      </c>
      <c r="N723" s="4">
        <f t="shared" si="492"/>
        <v>0</v>
      </c>
      <c r="O723" s="5">
        <f t="shared" si="493"/>
        <v>45</v>
      </c>
      <c r="P723" s="6" t="str">
        <f t="shared" si="494"/>
        <v>31 TO 45 Days</v>
      </c>
      <c r="Q723" s="7">
        <v>42855</v>
      </c>
      <c r="R723" s="6" t="s">
        <v>2178</v>
      </c>
      <c r="Y723" s="1" t="str">
        <f>"4711234627"</f>
        <v>4711234627</v>
      </c>
    </row>
    <row r="724" spans="1:25" x14ac:dyDescent="0.2">
      <c r="A724" s="9" t="s">
        <v>1030</v>
      </c>
      <c r="B724" s="10">
        <v>42810</v>
      </c>
      <c r="C724" s="9" t="s">
        <v>1031</v>
      </c>
      <c r="D724" s="9" t="s">
        <v>164</v>
      </c>
      <c r="E724" s="9" t="s">
        <v>2190</v>
      </c>
      <c r="F724" s="9">
        <v>0</v>
      </c>
      <c r="G724" s="8">
        <v>8022</v>
      </c>
      <c r="H724" s="4">
        <f t="shared" si="486"/>
        <v>0</v>
      </c>
      <c r="I724" s="4">
        <f t="shared" si="487"/>
        <v>8022</v>
      </c>
      <c r="J724" s="4">
        <f t="shared" si="488"/>
        <v>0</v>
      </c>
      <c r="K724" s="4">
        <f t="shared" si="489"/>
        <v>0</v>
      </c>
      <c r="L724" s="4">
        <f t="shared" si="490"/>
        <v>0</v>
      </c>
      <c r="M724" s="4">
        <f t="shared" si="491"/>
        <v>0</v>
      </c>
      <c r="N724" s="4">
        <f t="shared" si="492"/>
        <v>0</v>
      </c>
      <c r="O724" s="5">
        <f t="shared" si="493"/>
        <v>45</v>
      </c>
      <c r="P724" s="6" t="str">
        <f t="shared" si="494"/>
        <v>31 TO 45 Days</v>
      </c>
      <c r="Q724" s="7">
        <v>42855</v>
      </c>
      <c r="R724" s="6" t="s">
        <v>2178</v>
      </c>
      <c r="Y724" s="1" t="str">
        <f>"4711235643"</f>
        <v>4711235643</v>
      </c>
    </row>
    <row r="725" spans="1:25" x14ac:dyDescent="0.2">
      <c r="A725" s="9" t="s">
        <v>1650</v>
      </c>
      <c r="B725" s="10">
        <v>42828</v>
      </c>
      <c r="C725" s="9" t="s">
        <v>1651</v>
      </c>
      <c r="D725" s="9" t="s">
        <v>164</v>
      </c>
      <c r="E725" s="9" t="s">
        <v>2190</v>
      </c>
      <c r="F725" s="9">
        <v>0</v>
      </c>
      <c r="G725" s="8">
        <v>8024</v>
      </c>
      <c r="H725" s="4">
        <f t="shared" si="486"/>
        <v>8024</v>
      </c>
      <c r="I725" s="4">
        <f t="shared" si="487"/>
        <v>0</v>
      </c>
      <c r="J725" s="4">
        <f t="shared" si="488"/>
        <v>0</v>
      </c>
      <c r="K725" s="4">
        <f t="shared" si="489"/>
        <v>0</v>
      </c>
      <c r="L725" s="4">
        <f t="shared" si="490"/>
        <v>0</v>
      </c>
      <c r="M725" s="4">
        <f t="shared" si="491"/>
        <v>0</v>
      </c>
      <c r="N725" s="4">
        <f t="shared" si="492"/>
        <v>0</v>
      </c>
      <c r="O725" s="5">
        <f t="shared" si="493"/>
        <v>27</v>
      </c>
      <c r="P725" s="6" t="str">
        <f t="shared" si="494"/>
        <v>30 Days</v>
      </c>
      <c r="Q725" s="7">
        <v>42855</v>
      </c>
      <c r="R725" s="6" t="s">
        <v>2178</v>
      </c>
      <c r="Y725" s="1" t="str">
        <f>"4711241260"</f>
        <v>4711241260</v>
      </c>
    </row>
    <row r="726" spans="1:25" x14ac:dyDescent="0.2">
      <c r="A726" s="9" t="s">
        <v>1176</v>
      </c>
      <c r="B726" s="10">
        <v>42815</v>
      </c>
      <c r="C726" s="9" t="s">
        <v>1177</v>
      </c>
      <c r="D726" s="9" t="s">
        <v>164</v>
      </c>
      <c r="E726" s="9" t="s">
        <v>2190</v>
      </c>
      <c r="F726" s="9">
        <v>0</v>
      </c>
      <c r="G726" s="8">
        <v>8037</v>
      </c>
      <c r="H726" s="4">
        <f t="shared" si="486"/>
        <v>0</v>
      </c>
      <c r="I726" s="4">
        <f t="shared" si="487"/>
        <v>8037</v>
      </c>
      <c r="J726" s="4">
        <f t="shared" si="488"/>
        <v>0</v>
      </c>
      <c r="K726" s="4">
        <f t="shared" si="489"/>
        <v>0</v>
      </c>
      <c r="L726" s="4">
        <f t="shared" si="490"/>
        <v>0</v>
      </c>
      <c r="M726" s="4">
        <f t="shared" si="491"/>
        <v>0</v>
      </c>
      <c r="N726" s="4">
        <f t="shared" si="492"/>
        <v>0</v>
      </c>
      <c r="O726" s="5">
        <f t="shared" si="493"/>
        <v>40</v>
      </c>
      <c r="P726" s="6" t="str">
        <f t="shared" si="494"/>
        <v>31 TO 45 Days</v>
      </c>
      <c r="Q726" s="7">
        <v>42855</v>
      </c>
      <c r="R726" s="6" t="s">
        <v>2178</v>
      </c>
      <c r="Y726" s="1" t="str">
        <f>"4711236972"</f>
        <v>4711236972</v>
      </c>
    </row>
    <row r="727" spans="1:25" x14ac:dyDescent="0.2">
      <c r="A727" s="9" t="s">
        <v>1590</v>
      </c>
      <c r="B727" s="10">
        <v>42826</v>
      </c>
      <c r="C727" s="9" t="s">
        <v>1591</v>
      </c>
      <c r="D727" s="9" t="s">
        <v>158</v>
      </c>
      <c r="E727" s="9" t="s">
        <v>2190</v>
      </c>
      <c r="F727" s="9">
        <v>0</v>
      </c>
      <c r="G727" s="8">
        <v>8040</v>
      </c>
      <c r="H727" s="4">
        <f t="shared" si="486"/>
        <v>8040</v>
      </c>
      <c r="I727" s="4">
        <f t="shared" si="487"/>
        <v>0</v>
      </c>
      <c r="J727" s="4">
        <f t="shared" si="488"/>
        <v>0</v>
      </c>
      <c r="K727" s="4">
        <f t="shared" si="489"/>
        <v>0</v>
      </c>
      <c r="L727" s="4">
        <f t="shared" si="490"/>
        <v>0</v>
      </c>
      <c r="M727" s="4">
        <f t="shared" si="491"/>
        <v>0</v>
      </c>
      <c r="N727" s="4">
        <f t="shared" si="492"/>
        <v>0</v>
      </c>
      <c r="O727" s="5">
        <f t="shared" si="493"/>
        <v>29</v>
      </c>
      <c r="P727" s="6" t="str">
        <f t="shared" si="494"/>
        <v>30 Days</v>
      </c>
      <c r="Q727" s="7">
        <v>42855</v>
      </c>
      <c r="R727" s="6" t="s">
        <v>2178</v>
      </c>
      <c r="Y727" s="1" t="str">
        <f>"4930437572"</f>
        <v>4930437572</v>
      </c>
    </row>
    <row r="728" spans="1:25" x14ac:dyDescent="0.2">
      <c r="A728" s="9" t="s">
        <v>1036</v>
      </c>
      <c r="B728" s="10">
        <v>42810</v>
      </c>
      <c r="C728" s="9" t="s">
        <v>1037</v>
      </c>
      <c r="D728" s="9" t="s">
        <v>15</v>
      </c>
      <c r="E728" s="9" t="s">
        <v>2190</v>
      </c>
      <c r="F728" s="9">
        <v>5000000</v>
      </c>
      <c r="G728" s="8">
        <v>8040</v>
      </c>
      <c r="H728" s="4">
        <f t="shared" si="486"/>
        <v>0</v>
      </c>
      <c r="I728" s="4">
        <f t="shared" si="487"/>
        <v>8040</v>
      </c>
      <c r="J728" s="4">
        <f t="shared" si="488"/>
        <v>0</v>
      </c>
      <c r="K728" s="4">
        <f t="shared" si="489"/>
        <v>0</v>
      </c>
      <c r="L728" s="4">
        <f t="shared" si="490"/>
        <v>0</v>
      </c>
      <c r="M728" s="4">
        <f t="shared" si="491"/>
        <v>0</v>
      </c>
      <c r="N728" s="4">
        <f t="shared" si="492"/>
        <v>0</v>
      </c>
      <c r="O728" s="5">
        <f t="shared" si="493"/>
        <v>45</v>
      </c>
      <c r="P728" s="6" t="str">
        <f t="shared" si="494"/>
        <v>31 TO 45 Days</v>
      </c>
      <c r="Q728" s="7">
        <v>42855</v>
      </c>
      <c r="R728" s="6" t="s">
        <v>2178</v>
      </c>
      <c r="Y728" s="1" t="str">
        <f>"419166045"</f>
        <v>419166045</v>
      </c>
    </row>
    <row r="729" spans="1:25" x14ac:dyDescent="0.2">
      <c r="A729" s="9" t="s">
        <v>1389</v>
      </c>
      <c r="B729" s="10">
        <v>42822</v>
      </c>
      <c r="C729" s="9" t="s">
        <v>1390</v>
      </c>
      <c r="D729" s="9" t="s">
        <v>164</v>
      </c>
      <c r="E729" s="9" t="s">
        <v>2190</v>
      </c>
      <c r="F729" s="9">
        <v>0</v>
      </c>
      <c r="G729" s="8">
        <v>8045</v>
      </c>
      <c r="H729" s="4">
        <f t="shared" si="486"/>
        <v>0</v>
      </c>
      <c r="I729" s="4">
        <f t="shared" si="487"/>
        <v>8045</v>
      </c>
      <c r="J729" s="4">
        <f t="shared" si="488"/>
        <v>0</v>
      </c>
      <c r="K729" s="4">
        <f t="shared" si="489"/>
        <v>0</v>
      </c>
      <c r="L729" s="4">
        <f t="shared" si="490"/>
        <v>0</v>
      </c>
      <c r="M729" s="4">
        <f t="shared" si="491"/>
        <v>0</v>
      </c>
      <c r="N729" s="4">
        <f t="shared" si="492"/>
        <v>0</v>
      </c>
      <c r="O729" s="5">
        <f t="shared" si="493"/>
        <v>33</v>
      </c>
      <c r="P729" s="6" t="str">
        <f t="shared" si="494"/>
        <v>31 TO 45 Days</v>
      </c>
      <c r="Q729" s="7">
        <v>42855</v>
      </c>
      <c r="R729" s="6" t="s">
        <v>2178</v>
      </c>
      <c r="Y729" s="1" t="str">
        <f>"4711238745"</f>
        <v>4711238745</v>
      </c>
    </row>
    <row r="730" spans="1:25" x14ac:dyDescent="0.2">
      <c r="A730" s="9" t="s">
        <v>1219</v>
      </c>
      <c r="B730" s="10">
        <v>42816</v>
      </c>
      <c r="C730" s="9" t="s">
        <v>1220</v>
      </c>
      <c r="D730" s="9" t="s">
        <v>164</v>
      </c>
      <c r="E730" s="9" t="s">
        <v>2190</v>
      </c>
      <c r="F730" s="9">
        <v>0</v>
      </c>
      <c r="G730" s="8">
        <v>8052</v>
      </c>
      <c r="H730" s="4">
        <f t="shared" si="486"/>
        <v>0</v>
      </c>
      <c r="I730" s="4">
        <f t="shared" si="487"/>
        <v>8052</v>
      </c>
      <c r="J730" s="4">
        <f t="shared" si="488"/>
        <v>0</v>
      </c>
      <c r="K730" s="4">
        <f t="shared" si="489"/>
        <v>0</v>
      </c>
      <c r="L730" s="4">
        <f t="shared" si="490"/>
        <v>0</v>
      </c>
      <c r="M730" s="4">
        <f t="shared" si="491"/>
        <v>0</v>
      </c>
      <c r="N730" s="4">
        <f t="shared" si="492"/>
        <v>0</v>
      </c>
      <c r="O730" s="5">
        <f t="shared" si="493"/>
        <v>39</v>
      </c>
      <c r="P730" s="6" t="str">
        <f t="shared" si="494"/>
        <v>31 TO 45 Days</v>
      </c>
      <c r="Q730" s="7">
        <v>42855</v>
      </c>
      <c r="R730" s="6" t="s">
        <v>2178</v>
      </c>
      <c r="Y730" s="1" t="str">
        <f>"4711238077"</f>
        <v>4711238077</v>
      </c>
    </row>
    <row r="731" spans="1:25" x14ac:dyDescent="0.2">
      <c r="A731" s="9" t="s">
        <v>569</v>
      </c>
      <c r="B731" s="10">
        <v>42780</v>
      </c>
      <c r="C731" s="9" t="s">
        <v>570</v>
      </c>
      <c r="D731" s="9" t="s">
        <v>161</v>
      </c>
      <c r="E731" s="9" t="s">
        <v>2190</v>
      </c>
      <c r="F731" s="9">
        <v>0</v>
      </c>
      <c r="G731" s="8">
        <v>8055</v>
      </c>
      <c r="H731" s="4">
        <f t="shared" si="486"/>
        <v>0</v>
      </c>
      <c r="I731" s="4">
        <f t="shared" si="487"/>
        <v>0</v>
      </c>
      <c r="J731" s="4">
        <f t="shared" si="488"/>
        <v>0</v>
      </c>
      <c r="K731" s="4">
        <f t="shared" si="489"/>
        <v>8055</v>
      </c>
      <c r="L731" s="4">
        <f t="shared" si="490"/>
        <v>0</v>
      </c>
      <c r="M731" s="4">
        <f t="shared" si="491"/>
        <v>0</v>
      </c>
      <c r="N731" s="4">
        <f t="shared" si="492"/>
        <v>8055</v>
      </c>
      <c r="O731" s="5">
        <f t="shared" si="493"/>
        <v>75</v>
      </c>
      <c r="P731" s="6" t="str">
        <f t="shared" si="494"/>
        <v>61 To 90 Days</v>
      </c>
      <c r="Q731" s="7">
        <v>42855</v>
      </c>
      <c r="R731" s="6" t="s">
        <v>2178</v>
      </c>
      <c r="Y731" s="1" t="str">
        <f>"4711228468"</f>
        <v>4711228468</v>
      </c>
    </row>
    <row r="732" spans="1:25" x14ac:dyDescent="0.2">
      <c r="A732" s="9" t="s">
        <v>1192</v>
      </c>
      <c r="B732" s="10">
        <v>42815</v>
      </c>
      <c r="C732" s="9" t="s">
        <v>1193</v>
      </c>
      <c r="D732" s="9" t="s">
        <v>164</v>
      </c>
      <c r="E732" s="9" t="s">
        <v>2190</v>
      </c>
      <c r="F732" s="9">
        <v>0</v>
      </c>
      <c r="G732" s="8">
        <v>8059</v>
      </c>
      <c r="H732" s="4">
        <f t="shared" si="486"/>
        <v>0</v>
      </c>
      <c r="I732" s="4">
        <f t="shared" si="487"/>
        <v>8059</v>
      </c>
      <c r="J732" s="4">
        <f t="shared" si="488"/>
        <v>0</v>
      </c>
      <c r="K732" s="4">
        <f t="shared" si="489"/>
        <v>0</v>
      </c>
      <c r="L732" s="4">
        <f t="shared" si="490"/>
        <v>0</v>
      </c>
      <c r="M732" s="4">
        <f t="shared" si="491"/>
        <v>0</v>
      </c>
      <c r="N732" s="4">
        <f t="shared" si="492"/>
        <v>0</v>
      </c>
      <c r="O732" s="5">
        <f t="shared" si="493"/>
        <v>40</v>
      </c>
      <c r="P732" s="6" t="str">
        <f t="shared" si="494"/>
        <v>31 TO 45 Days</v>
      </c>
      <c r="Q732" s="7">
        <v>42855</v>
      </c>
      <c r="R732" s="6" t="s">
        <v>2178</v>
      </c>
      <c r="Y732" s="1" t="str">
        <f>"4711236975"</f>
        <v>4711236975</v>
      </c>
    </row>
    <row r="733" spans="1:25" x14ac:dyDescent="0.2">
      <c r="A733" s="9" t="s">
        <v>1026</v>
      </c>
      <c r="B733" s="10">
        <v>42810</v>
      </c>
      <c r="C733" s="9" t="s">
        <v>1027</v>
      </c>
      <c r="D733" s="9" t="s">
        <v>30</v>
      </c>
      <c r="E733" s="9" t="s">
        <v>2190</v>
      </c>
      <c r="F733" s="9">
        <v>700000</v>
      </c>
      <c r="G733" s="8">
        <v>8065</v>
      </c>
      <c r="H733" s="4">
        <f t="shared" si="486"/>
        <v>0</v>
      </c>
      <c r="I733" s="4">
        <f t="shared" si="487"/>
        <v>8065</v>
      </c>
      <c r="J733" s="4">
        <f t="shared" si="488"/>
        <v>0</v>
      </c>
      <c r="K733" s="4">
        <f t="shared" si="489"/>
        <v>0</v>
      </c>
      <c r="L733" s="4">
        <f t="shared" si="490"/>
        <v>0</v>
      </c>
      <c r="M733" s="4">
        <f t="shared" si="491"/>
        <v>0</v>
      </c>
      <c r="N733" s="4">
        <f t="shared" si="492"/>
        <v>0</v>
      </c>
      <c r="O733" s="5">
        <f t="shared" si="493"/>
        <v>45</v>
      </c>
      <c r="P733" s="6" t="str">
        <f t="shared" si="494"/>
        <v>31 TO 45 Days</v>
      </c>
      <c r="Q733" s="7">
        <v>42855</v>
      </c>
      <c r="R733" s="6" t="s">
        <v>2178</v>
      </c>
      <c r="Y733" s="1" t="str">
        <f>"4711235662"</f>
        <v>4711235662</v>
      </c>
    </row>
    <row r="734" spans="1:25" x14ac:dyDescent="0.2">
      <c r="A734" s="9" t="s">
        <v>452</v>
      </c>
      <c r="B734" s="10">
        <v>42768</v>
      </c>
      <c r="C734" s="9" t="s">
        <v>453</v>
      </c>
      <c r="D734" s="9" t="s">
        <v>270</v>
      </c>
      <c r="E734" s="9" t="s">
        <v>2190</v>
      </c>
      <c r="F734" s="9">
        <v>0</v>
      </c>
      <c r="G734" s="8">
        <v>8069</v>
      </c>
      <c r="H734" s="4">
        <f t="shared" si="486"/>
        <v>0</v>
      </c>
      <c r="I734" s="4">
        <f t="shared" si="487"/>
        <v>0</v>
      </c>
      <c r="J734" s="4">
        <f t="shared" si="488"/>
        <v>0</v>
      </c>
      <c r="K734" s="4">
        <f t="shared" si="489"/>
        <v>8069</v>
      </c>
      <c r="L734" s="4">
        <f t="shared" si="490"/>
        <v>0</v>
      </c>
      <c r="M734" s="4">
        <f t="shared" si="491"/>
        <v>0</v>
      </c>
      <c r="N734" s="4">
        <f t="shared" si="492"/>
        <v>8069</v>
      </c>
      <c r="O734" s="5">
        <f t="shared" si="493"/>
        <v>87</v>
      </c>
      <c r="P734" s="6" t="str">
        <f t="shared" si="494"/>
        <v>61 To 90 Days</v>
      </c>
      <c r="Q734" s="7">
        <v>42855</v>
      </c>
      <c r="R734" s="6" t="s">
        <v>2178</v>
      </c>
      <c r="Y734" s="1" t="str">
        <f>"4570267971"</f>
        <v>4570267971</v>
      </c>
    </row>
    <row r="735" spans="1:25" x14ac:dyDescent="0.2">
      <c r="A735" s="9" t="s">
        <v>708</v>
      </c>
      <c r="B735" s="10">
        <v>42791</v>
      </c>
      <c r="C735" s="9" t="s">
        <v>709</v>
      </c>
      <c r="D735" s="9" t="s">
        <v>133</v>
      </c>
      <c r="E735" s="9" t="s">
        <v>2190</v>
      </c>
      <c r="F735" s="9">
        <v>20000000</v>
      </c>
      <c r="G735" s="8">
        <v>8074</v>
      </c>
      <c r="H735" s="4">
        <f t="shared" si="486"/>
        <v>0</v>
      </c>
      <c r="I735" s="4">
        <f t="shared" si="487"/>
        <v>0</v>
      </c>
      <c r="J735" s="4">
        <f t="shared" si="488"/>
        <v>0</v>
      </c>
      <c r="K735" s="4">
        <f t="shared" si="489"/>
        <v>8074</v>
      </c>
      <c r="L735" s="4">
        <f t="shared" si="490"/>
        <v>0</v>
      </c>
      <c r="M735" s="4">
        <f t="shared" si="491"/>
        <v>0</v>
      </c>
      <c r="N735" s="4">
        <f t="shared" si="492"/>
        <v>8074</v>
      </c>
      <c r="O735" s="5">
        <f t="shared" si="493"/>
        <v>64</v>
      </c>
      <c r="P735" s="6" t="str">
        <f t="shared" si="494"/>
        <v>61 To 90 Days</v>
      </c>
      <c r="Q735" s="7">
        <v>42855</v>
      </c>
      <c r="R735" s="6" t="s">
        <v>2178</v>
      </c>
      <c r="V735" s="1" t="s">
        <v>13</v>
      </c>
      <c r="W735" s="2">
        <v>42796</v>
      </c>
      <c r="X735" s="1" t="s">
        <v>14</v>
      </c>
      <c r="Y735" s="1" t="str">
        <f>"4711229439"</f>
        <v>4711229439</v>
      </c>
    </row>
    <row r="736" spans="1:25" x14ac:dyDescent="0.2">
      <c r="A736" s="9" t="s">
        <v>927</v>
      </c>
      <c r="B736" s="10">
        <v>42802</v>
      </c>
      <c r="C736" s="9" t="s">
        <v>928</v>
      </c>
      <c r="D736" s="9" t="s">
        <v>270</v>
      </c>
      <c r="E736" s="9" t="s">
        <v>2190</v>
      </c>
      <c r="F736" s="9">
        <v>0</v>
      </c>
      <c r="G736" s="8">
        <v>8092</v>
      </c>
      <c r="H736" s="4">
        <f t="shared" si="486"/>
        <v>0</v>
      </c>
      <c r="I736" s="4">
        <f t="shared" si="487"/>
        <v>0</v>
      </c>
      <c r="J736" s="4">
        <f t="shared" si="488"/>
        <v>8092</v>
      </c>
      <c r="K736" s="4">
        <f t="shared" si="489"/>
        <v>0</v>
      </c>
      <c r="L736" s="4">
        <f t="shared" si="490"/>
        <v>0</v>
      </c>
      <c r="M736" s="4">
        <f t="shared" si="491"/>
        <v>0</v>
      </c>
      <c r="N736" s="4">
        <f t="shared" si="492"/>
        <v>0</v>
      </c>
      <c r="O736" s="5">
        <f t="shared" si="493"/>
        <v>53</v>
      </c>
      <c r="P736" s="6" t="str">
        <f t="shared" si="494"/>
        <v>46 To 60 Days</v>
      </c>
      <c r="Q736" s="7">
        <v>42855</v>
      </c>
      <c r="R736" s="6" t="s">
        <v>2178</v>
      </c>
      <c r="Y736" s="1" t="str">
        <f>"4560218137"</f>
        <v>4560218137</v>
      </c>
    </row>
    <row r="737" spans="1:25" x14ac:dyDescent="0.2">
      <c r="A737" s="9" t="s">
        <v>876</v>
      </c>
      <c r="B737" s="10">
        <v>42796</v>
      </c>
      <c r="C737" s="9" t="s">
        <v>877</v>
      </c>
      <c r="D737" s="9" t="s">
        <v>17</v>
      </c>
      <c r="E737" s="9" t="s">
        <v>2190</v>
      </c>
      <c r="F737" s="9">
        <v>500000</v>
      </c>
      <c r="G737" s="8">
        <v>8094</v>
      </c>
      <c r="H737" s="4">
        <f t="shared" si="486"/>
        <v>0</v>
      </c>
      <c r="I737" s="4">
        <f t="shared" si="487"/>
        <v>0</v>
      </c>
      <c r="J737" s="4">
        <f t="shared" si="488"/>
        <v>8094</v>
      </c>
      <c r="K737" s="4">
        <f t="shared" si="489"/>
        <v>0</v>
      </c>
      <c r="L737" s="4">
        <f t="shared" si="490"/>
        <v>0</v>
      </c>
      <c r="M737" s="4">
        <f t="shared" si="491"/>
        <v>0</v>
      </c>
      <c r="N737" s="4">
        <f t="shared" si="492"/>
        <v>0</v>
      </c>
      <c r="O737" s="5">
        <f t="shared" si="493"/>
        <v>59</v>
      </c>
      <c r="P737" s="6" t="str">
        <f t="shared" si="494"/>
        <v>46 To 60 Days</v>
      </c>
      <c r="Q737" s="7">
        <v>42855</v>
      </c>
      <c r="R737" s="6" t="s">
        <v>2178</v>
      </c>
      <c r="Y737" s="1" t="str">
        <f>"417268183"</f>
        <v>417268183</v>
      </c>
    </row>
    <row r="738" spans="1:25" x14ac:dyDescent="0.2">
      <c r="A738" s="9" t="s">
        <v>1227</v>
      </c>
      <c r="B738" s="10">
        <v>42816</v>
      </c>
      <c r="C738" s="9" t="s">
        <v>1228</v>
      </c>
      <c r="D738" s="9" t="s">
        <v>164</v>
      </c>
      <c r="E738" s="9" t="s">
        <v>2190</v>
      </c>
      <c r="F738" s="9">
        <v>0</v>
      </c>
      <c r="G738" s="8">
        <v>8095</v>
      </c>
      <c r="H738" s="4">
        <f t="shared" si="486"/>
        <v>0</v>
      </c>
      <c r="I738" s="4">
        <f t="shared" si="487"/>
        <v>8095</v>
      </c>
      <c r="J738" s="4">
        <f t="shared" si="488"/>
        <v>0</v>
      </c>
      <c r="K738" s="4">
        <f t="shared" si="489"/>
        <v>0</v>
      </c>
      <c r="L738" s="4">
        <f t="shared" si="490"/>
        <v>0</v>
      </c>
      <c r="M738" s="4">
        <f t="shared" si="491"/>
        <v>0</v>
      </c>
      <c r="N738" s="4">
        <f t="shared" si="492"/>
        <v>0</v>
      </c>
      <c r="O738" s="5">
        <f t="shared" si="493"/>
        <v>39</v>
      </c>
      <c r="P738" s="6" t="str">
        <f t="shared" si="494"/>
        <v>31 TO 45 Days</v>
      </c>
      <c r="Q738" s="7">
        <v>42855</v>
      </c>
      <c r="R738" s="6" t="s">
        <v>2178</v>
      </c>
      <c r="Y738" s="1" t="str">
        <f>"4711238342"</f>
        <v>4711238342</v>
      </c>
    </row>
    <row r="739" spans="1:25" x14ac:dyDescent="0.2">
      <c r="A739" s="9" t="s">
        <v>1231</v>
      </c>
      <c r="B739" s="10">
        <v>42816</v>
      </c>
      <c r="C739" s="9" t="s">
        <v>1232</v>
      </c>
      <c r="D739" s="9" t="s">
        <v>164</v>
      </c>
      <c r="E739" s="9" t="s">
        <v>2190</v>
      </c>
      <c r="F739" s="9">
        <v>0</v>
      </c>
      <c r="G739" s="8">
        <v>8095</v>
      </c>
      <c r="H739" s="4">
        <f t="shared" si="486"/>
        <v>0</v>
      </c>
      <c r="I739" s="4">
        <f t="shared" si="487"/>
        <v>8095</v>
      </c>
      <c r="J739" s="4">
        <f t="shared" si="488"/>
        <v>0</v>
      </c>
      <c r="K739" s="4">
        <f t="shared" si="489"/>
        <v>0</v>
      </c>
      <c r="L739" s="4">
        <f t="shared" si="490"/>
        <v>0</v>
      </c>
      <c r="M739" s="4">
        <f t="shared" si="491"/>
        <v>0</v>
      </c>
      <c r="N739" s="4">
        <f t="shared" si="492"/>
        <v>0</v>
      </c>
      <c r="O739" s="5">
        <f t="shared" si="493"/>
        <v>39</v>
      </c>
      <c r="P739" s="6" t="str">
        <f t="shared" si="494"/>
        <v>31 TO 45 Days</v>
      </c>
      <c r="Q739" s="7">
        <v>42855</v>
      </c>
      <c r="R739" s="6" t="s">
        <v>2178</v>
      </c>
      <c r="Y739" s="1" t="str">
        <f>"4711236236"</f>
        <v>4711236236</v>
      </c>
    </row>
    <row r="740" spans="1:25" x14ac:dyDescent="0.2">
      <c r="A740" s="9" t="s">
        <v>198</v>
      </c>
      <c r="B740" s="10">
        <v>42728</v>
      </c>
      <c r="C740" s="9" t="s">
        <v>199</v>
      </c>
      <c r="D740" s="9" t="s">
        <v>133</v>
      </c>
      <c r="E740" s="9" t="s">
        <v>2190</v>
      </c>
      <c r="F740" s="9">
        <v>20000000</v>
      </c>
      <c r="G740" s="8">
        <v>8098</v>
      </c>
      <c r="H740" s="4">
        <f t="shared" si="486"/>
        <v>0</v>
      </c>
      <c r="I740" s="4">
        <f t="shared" si="487"/>
        <v>0</v>
      </c>
      <c r="J740" s="4">
        <f t="shared" si="488"/>
        <v>0</v>
      </c>
      <c r="K740" s="4">
        <f t="shared" si="489"/>
        <v>0</v>
      </c>
      <c r="L740" s="4">
        <f t="shared" si="490"/>
        <v>0</v>
      </c>
      <c r="M740" s="4">
        <f t="shared" si="491"/>
        <v>8098</v>
      </c>
      <c r="N740" s="4">
        <f t="shared" si="492"/>
        <v>8098</v>
      </c>
      <c r="O740" s="5">
        <f t="shared" si="493"/>
        <v>127</v>
      </c>
      <c r="P740" s="6" t="str">
        <f t="shared" si="494"/>
        <v>Plus120Days</v>
      </c>
      <c r="Q740" s="7">
        <v>42855</v>
      </c>
      <c r="R740" s="6" t="s">
        <v>2178</v>
      </c>
      <c r="V740" s="1" t="s">
        <v>13</v>
      </c>
      <c r="Y740" s="1" t="str">
        <f>"4060578862"</f>
        <v>4060578862</v>
      </c>
    </row>
    <row r="741" spans="1:25" x14ac:dyDescent="0.2">
      <c r="A741" s="9" t="s">
        <v>1765</v>
      </c>
      <c r="B741" s="10">
        <v>42831</v>
      </c>
      <c r="C741" s="9" t="s">
        <v>1766</v>
      </c>
      <c r="D741" s="9" t="s">
        <v>666</v>
      </c>
      <c r="E741" s="9" t="s">
        <v>2190</v>
      </c>
      <c r="F741" s="9">
        <v>3377500</v>
      </c>
      <c r="G741" s="8">
        <v>8103</v>
      </c>
      <c r="H741" s="4">
        <f t="shared" si="486"/>
        <v>8103</v>
      </c>
      <c r="I741" s="4">
        <f t="shared" si="487"/>
        <v>0</v>
      </c>
      <c r="J741" s="4">
        <f t="shared" si="488"/>
        <v>0</v>
      </c>
      <c r="K741" s="4">
        <f t="shared" si="489"/>
        <v>0</v>
      </c>
      <c r="L741" s="4">
        <f t="shared" si="490"/>
        <v>0</v>
      </c>
      <c r="M741" s="4">
        <f t="shared" si="491"/>
        <v>0</v>
      </c>
      <c r="N741" s="4">
        <f t="shared" si="492"/>
        <v>0</v>
      </c>
      <c r="O741" s="5">
        <f t="shared" si="493"/>
        <v>24</v>
      </c>
      <c r="P741" s="6" t="str">
        <f t="shared" si="494"/>
        <v>30 Days</v>
      </c>
      <c r="Q741" s="7">
        <v>42855</v>
      </c>
      <c r="R741" s="6" t="s">
        <v>2178</v>
      </c>
      <c r="S741" s="1">
        <v>122.36</v>
      </c>
      <c r="T741" s="1" t="s">
        <v>31</v>
      </c>
      <c r="V741" s="1" t="s">
        <v>13</v>
      </c>
      <c r="W741" s="2">
        <v>42831</v>
      </c>
      <c r="X741" s="1" t="s">
        <v>14</v>
      </c>
      <c r="Y741" s="1" t="str">
        <f>"410387874"</f>
        <v>410387874</v>
      </c>
    </row>
    <row r="742" spans="1:25" x14ac:dyDescent="0.2">
      <c r="A742" s="9" t="s">
        <v>1602</v>
      </c>
      <c r="B742" s="10">
        <v>42826</v>
      </c>
      <c r="C742" s="9" t="s">
        <v>1603</v>
      </c>
      <c r="D742" s="9" t="s">
        <v>164</v>
      </c>
      <c r="E742" s="9" t="s">
        <v>2190</v>
      </c>
      <c r="F742" s="9">
        <v>0</v>
      </c>
      <c r="G742" s="8">
        <v>8114</v>
      </c>
      <c r="H742" s="4">
        <f t="shared" si="486"/>
        <v>8114</v>
      </c>
      <c r="I742" s="4">
        <f t="shared" si="487"/>
        <v>0</v>
      </c>
      <c r="J742" s="4">
        <f t="shared" si="488"/>
        <v>0</v>
      </c>
      <c r="K742" s="4">
        <f t="shared" si="489"/>
        <v>0</v>
      </c>
      <c r="L742" s="4">
        <f t="shared" si="490"/>
        <v>0</v>
      </c>
      <c r="M742" s="4">
        <f t="shared" si="491"/>
        <v>0</v>
      </c>
      <c r="N742" s="4">
        <f t="shared" si="492"/>
        <v>0</v>
      </c>
      <c r="O742" s="5">
        <f t="shared" si="493"/>
        <v>29</v>
      </c>
      <c r="P742" s="6" t="str">
        <f t="shared" si="494"/>
        <v>30 Days</v>
      </c>
      <c r="Q742" s="7">
        <v>42855</v>
      </c>
      <c r="R742" s="6" t="s">
        <v>2178</v>
      </c>
      <c r="Y742" s="1" t="str">
        <f>"4711240568"</f>
        <v>4711240568</v>
      </c>
    </row>
    <row r="743" spans="1:25" x14ac:dyDescent="0.2">
      <c r="A743" s="9" t="s">
        <v>1606</v>
      </c>
      <c r="B743" s="10">
        <v>42826</v>
      </c>
      <c r="C743" s="9" t="s">
        <v>1607</v>
      </c>
      <c r="D743" s="9" t="s">
        <v>164</v>
      </c>
      <c r="E743" s="9" t="s">
        <v>2190</v>
      </c>
      <c r="F743" s="9">
        <v>0</v>
      </c>
      <c r="G743" s="8">
        <v>8114</v>
      </c>
      <c r="H743" s="4">
        <f t="shared" si="486"/>
        <v>8114</v>
      </c>
      <c r="I743" s="4">
        <f t="shared" si="487"/>
        <v>0</v>
      </c>
      <c r="J743" s="4">
        <f t="shared" si="488"/>
        <v>0</v>
      </c>
      <c r="K743" s="4">
        <f t="shared" si="489"/>
        <v>0</v>
      </c>
      <c r="L743" s="4">
        <f t="shared" si="490"/>
        <v>0</v>
      </c>
      <c r="M743" s="4">
        <f t="shared" si="491"/>
        <v>0</v>
      </c>
      <c r="N743" s="4">
        <f t="shared" si="492"/>
        <v>0</v>
      </c>
      <c r="O743" s="5">
        <f t="shared" si="493"/>
        <v>29</v>
      </c>
      <c r="P743" s="6" t="str">
        <f t="shared" si="494"/>
        <v>30 Days</v>
      </c>
      <c r="Q743" s="7">
        <v>42855</v>
      </c>
      <c r="R743" s="6" t="s">
        <v>2178</v>
      </c>
      <c r="Y743" s="1" t="str">
        <f>"4711240985"</f>
        <v>4711240985</v>
      </c>
    </row>
    <row r="744" spans="1:25" x14ac:dyDescent="0.2">
      <c r="A744" s="9" t="s">
        <v>1749</v>
      </c>
      <c r="B744" s="10">
        <v>42831</v>
      </c>
      <c r="C744" s="9" t="s">
        <v>1750</v>
      </c>
      <c r="D744" s="9" t="s">
        <v>163</v>
      </c>
      <c r="E744" s="9" t="s">
        <v>2190</v>
      </c>
      <c r="F744" s="9">
        <v>1000000</v>
      </c>
      <c r="G744" s="8">
        <v>8115</v>
      </c>
      <c r="H744" s="4">
        <f t="shared" si="486"/>
        <v>8115</v>
      </c>
      <c r="I744" s="4">
        <f t="shared" si="487"/>
        <v>0</v>
      </c>
      <c r="J744" s="4">
        <f t="shared" si="488"/>
        <v>0</v>
      </c>
      <c r="K744" s="4">
        <f t="shared" si="489"/>
        <v>0</v>
      </c>
      <c r="L744" s="4">
        <f t="shared" si="490"/>
        <v>0</v>
      </c>
      <c r="M744" s="4">
        <f t="shared" si="491"/>
        <v>0</v>
      </c>
      <c r="N744" s="4">
        <f t="shared" si="492"/>
        <v>0</v>
      </c>
      <c r="O744" s="5">
        <f t="shared" si="493"/>
        <v>24</v>
      </c>
      <c r="P744" s="6" t="str">
        <f t="shared" si="494"/>
        <v>30 Days</v>
      </c>
      <c r="Q744" s="7">
        <v>42855</v>
      </c>
      <c r="R744" s="6" t="s">
        <v>2178</v>
      </c>
      <c r="Y744" s="1" t="str">
        <f>"4812078751"</f>
        <v>4812078751</v>
      </c>
    </row>
    <row r="745" spans="1:25" x14ac:dyDescent="0.2">
      <c r="A745" s="9" t="s">
        <v>896</v>
      </c>
      <c r="B745" s="10">
        <v>42798</v>
      </c>
      <c r="C745" s="9" t="s">
        <v>897</v>
      </c>
      <c r="D745" s="9" t="s">
        <v>142</v>
      </c>
      <c r="E745" s="9" t="s">
        <v>2190</v>
      </c>
      <c r="F745" s="9">
        <v>1540000</v>
      </c>
      <c r="G745" s="8">
        <v>8129</v>
      </c>
      <c r="H745" s="4">
        <f t="shared" ref="H745:H777" si="495">IF(O745&lt;=30,G745,0)</f>
        <v>0</v>
      </c>
      <c r="I745" s="4">
        <f t="shared" ref="I745:I777" si="496">IF(AND(O745&gt;30,O745&lt;=45),G745,0)</f>
        <v>0</v>
      </c>
      <c r="J745" s="4">
        <f t="shared" ref="J745:J777" si="497">IF(AND(O745&gt;45,O745&lt;=60),G745,0)</f>
        <v>8129</v>
      </c>
      <c r="K745" s="4">
        <f t="shared" ref="K745:K777" si="498">IF(AND(O745&gt;60,O745&lt;=90),G745,0)</f>
        <v>0</v>
      </c>
      <c r="L745" s="4">
        <f t="shared" ref="L745:L777" si="499">IF(AND(O745&gt;90,O745&lt;=120),G745,0)</f>
        <v>0</v>
      </c>
      <c r="M745" s="4">
        <f t="shared" ref="M745:M777" si="500">IF(O745&gt;120,G745,0)</f>
        <v>0</v>
      </c>
      <c r="N745" s="4">
        <f t="shared" ref="N745:N777" si="501">IF(O745&gt;60,G745,0)</f>
        <v>0</v>
      </c>
      <c r="O745" s="5">
        <f t="shared" ref="O745:O777" si="502">Q745-B745</f>
        <v>57</v>
      </c>
      <c r="P745" s="6" t="str">
        <f t="shared" ref="P745:P777" si="503">IF(AND(O745&lt;=30),"30 Days",IF(AND(O745&gt;30,O745&lt;=45),"31 TO 45 Days",IF(AND(O745&gt;45,O745&lt;=60),"46 To 60 Days",IF(AND(O745&gt;60,O745&lt;=90),"61 To 90 Days",IF(AND(O745&gt;90,O745&lt;=120),"91 To 120 Days",IF(AND(O745&gt;120),"Plus120Days",))))))</f>
        <v>46 To 60 Days</v>
      </c>
      <c r="Q745" s="7">
        <v>42855</v>
      </c>
      <c r="R745" s="6" t="s">
        <v>2178</v>
      </c>
      <c r="Y745" s="1" t="str">
        <f>"4930434664"</f>
        <v>4930434664</v>
      </c>
    </row>
    <row r="746" spans="1:25" x14ac:dyDescent="0.2">
      <c r="A746" s="9" t="s">
        <v>460</v>
      </c>
      <c r="B746" s="10">
        <v>42768</v>
      </c>
      <c r="C746" s="9" t="s">
        <v>461</v>
      </c>
      <c r="D746" s="9" t="s">
        <v>36</v>
      </c>
      <c r="E746" s="9" t="s">
        <v>2190</v>
      </c>
      <c r="F746" s="9">
        <v>125000</v>
      </c>
      <c r="G746" s="8">
        <v>8131</v>
      </c>
      <c r="H746" s="4">
        <f t="shared" si="495"/>
        <v>0</v>
      </c>
      <c r="I746" s="4">
        <f t="shared" si="496"/>
        <v>0</v>
      </c>
      <c r="J746" s="4">
        <f t="shared" si="497"/>
        <v>0</v>
      </c>
      <c r="K746" s="4">
        <f t="shared" si="498"/>
        <v>8131</v>
      </c>
      <c r="L746" s="4">
        <f t="shared" si="499"/>
        <v>0</v>
      </c>
      <c r="M746" s="4">
        <f t="shared" si="500"/>
        <v>0</v>
      </c>
      <c r="N746" s="4">
        <f t="shared" si="501"/>
        <v>8131</v>
      </c>
      <c r="O746" s="5">
        <f t="shared" si="502"/>
        <v>87</v>
      </c>
      <c r="P746" s="6" t="str">
        <f t="shared" si="503"/>
        <v>61 To 90 Days</v>
      </c>
      <c r="Q746" s="7">
        <v>42855</v>
      </c>
      <c r="R746" s="6" t="s">
        <v>2178</v>
      </c>
      <c r="Y746" s="1" t="str">
        <f>"4750385558"</f>
        <v>4750385558</v>
      </c>
    </row>
    <row r="747" spans="1:25" x14ac:dyDescent="0.2">
      <c r="A747" s="9" t="s">
        <v>1393</v>
      </c>
      <c r="B747" s="10">
        <v>42822</v>
      </c>
      <c r="C747" s="9" t="s">
        <v>1394</v>
      </c>
      <c r="D747" s="9" t="s">
        <v>144</v>
      </c>
      <c r="E747" s="9" t="s">
        <v>2190</v>
      </c>
      <c r="F747" s="9">
        <v>2300000</v>
      </c>
      <c r="G747" s="8">
        <v>8131</v>
      </c>
      <c r="H747" s="4">
        <f t="shared" si="495"/>
        <v>0</v>
      </c>
      <c r="I747" s="4">
        <f t="shared" si="496"/>
        <v>8131</v>
      </c>
      <c r="J747" s="4">
        <f t="shared" si="497"/>
        <v>0</v>
      </c>
      <c r="K747" s="4">
        <f t="shared" si="498"/>
        <v>0</v>
      </c>
      <c r="L747" s="4">
        <f t="shared" si="499"/>
        <v>0</v>
      </c>
      <c r="M747" s="4">
        <f t="shared" si="500"/>
        <v>0</v>
      </c>
      <c r="N747" s="4">
        <f t="shared" si="501"/>
        <v>0</v>
      </c>
      <c r="O747" s="5">
        <f t="shared" si="502"/>
        <v>33</v>
      </c>
      <c r="P747" s="6" t="str">
        <f t="shared" si="503"/>
        <v>31 TO 45 Days</v>
      </c>
      <c r="Q747" s="7">
        <v>42855</v>
      </c>
      <c r="R747" s="6" t="s">
        <v>2178</v>
      </c>
      <c r="Y747" s="1" t="str">
        <f>"4912901783"</f>
        <v>4912901783</v>
      </c>
    </row>
    <row r="748" spans="1:25" x14ac:dyDescent="0.2">
      <c r="A748" s="9" t="s">
        <v>694</v>
      </c>
      <c r="B748" s="10">
        <v>42790</v>
      </c>
      <c r="C748" s="9" t="s">
        <v>695</v>
      </c>
      <c r="D748" s="9" t="s">
        <v>17</v>
      </c>
      <c r="E748" s="9" t="s">
        <v>2190</v>
      </c>
      <c r="F748" s="9">
        <v>500000</v>
      </c>
      <c r="G748" s="8">
        <v>8136</v>
      </c>
      <c r="H748" s="4">
        <f t="shared" si="495"/>
        <v>0</v>
      </c>
      <c r="I748" s="4">
        <f t="shared" si="496"/>
        <v>0</v>
      </c>
      <c r="J748" s="4">
        <f t="shared" si="497"/>
        <v>0</v>
      </c>
      <c r="K748" s="4">
        <f t="shared" si="498"/>
        <v>8136</v>
      </c>
      <c r="L748" s="4">
        <f t="shared" si="499"/>
        <v>0</v>
      </c>
      <c r="M748" s="4">
        <f t="shared" si="500"/>
        <v>0</v>
      </c>
      <c r="N748" s="4">
        <f t="shared" si="501"/>
        <v>8136</v>
      </c>
      <c r="O748" s="5">
        <f t="shared" si="502"/>
        <v>65</v>
      </c>
      <c r="P748" s="6" t="str">
        <f t="shared" si="503"/>
        <v>61 To 90 Days</v>
      </c>
      <c r="Q748" s="7">
        <v>42855</v>
      </c>
      <c r="R748" s="6" t="s">
        <v>2178</v>
      </c>
      <c r="Y748" s="1" t="str">
        <f>"417268126"</f>
        <v>417268126</v>
      </c>
    </row>
    <row r="749" spans="1:25" x14ac:dyDescent="0.2">
      <c r="A749" s="9" t="s">
        <v>1215</v>
      </c>
      <c r="B749" s="10">
        <v>42816</v>
      </c>
      <c r="C749" s="9" t="s">
        <v>1216</v>
      </c>
      <c r="D749" s="9" t="s">
        <v>164</v>
      </c>
      <c r="E749" s="9" t="s">
        <v>2190</v>
      </c>
      <c r="F749" s="9">
        <v>0</v>
      </c>
      <c r="G749" s="8">
        <v>8137</v>
      </c>
      <c r="H749" s="4">
        <f t="shared" si="495"/>
        <v>0</v>
      </c>
      <c r="I749" s="4">
        <f t="shared" si="496"/>
        <v>8137</v>
      </c>
      <c r="J749" s="4">
        <f t="shared" si="497"/>
        <v>0</v>
      </c>
      <c r="K749" s="4">
        <f t="shared" si="498"/>
        <v>0</v>
      </c>
      <c r="L749" s="4">
        <f t="shared" si="499"/>
        <v>0</v>
      </c>
      <c r="M749" s="4">
        <f t="shared" si="500"/>
        <v>0</v>
      </c>
      <c r="N749" s="4">
        <f t="shared" si="501"/>
        <v>0</v>
      </c>
      <c r="O749" s="5">
        <f t="shared" si="502"/>
        <v>39</v>
      </c>
      <c r="P749" s="6" t="str">
        <f t="shared" si="503"/>
        <v>31 TO 45 Days</v>
      </c>
      <c r="Q749" s="7">
        <v>42855</v>
      </c>
      <c r="R749" s="6" t="s">
        <v>2178</v>
      </c>
      <c r="Y749" s="1" t="str">
        <f>"4711236717"</f>
        <v>4711236717</v>
      </c>
    </row>
    <row r="750" spans="1:25" x14ac:dyDescent="0.2">
      <c r="A750" s="9" t="s">
        <v>1952</v>
      </c>
      <c r="B750" s="10">
        <v>42835</v>
      </c>
      <c r="C750" s="9" t="s">
        <v>1953</v>
      </c>
      <c r="D750" s="9" t="s">
        <v>270</v>
      </c>
      <c r="E750" s="9" t="s">
        <v>2190</v>
      </c>
      <c r="F750" s="9">
        <v>0</v>
      </c>
      <c r="G750" s="8">
        <v>8138</v>
      </c>
      <c r="H750" s="4">
        <f t="shared" si="495"/>
        <v>8138</v>
      </c>
      <c r="I750" s="4">
        <f t="shared" si="496"/>
        <v>0</v>
      </c>
      <c r="J750" s="4">
        <f t="shared" si="497"/>
        <v>0</v>
      </c>
      <c r="K750" s="4">
        <f t="shared" si="498"/>
        <v>0</v>
      </c>
      <c r="L750" s="4">
        <f t="shared" si="499"/>
        <v>0</v>
      </c>
      <c r="M750" s="4">
        <f t="shared" si="500"/>
        <v>0</v>
      </c>
      <c r="N750" s="4">
        <f t="shared" si="501"/>
        <v>0</v>
      </c>
      <c r="O750" s="5">
        <f t="shared" si="502"/>
        <v>20</v>
      </c>
      <c r="P750" s="6" t="str">
        <f t="shared" si="503"/>
        <v>30 Days</v>
      </c>
      <c r="Q750" s="7">
        <v>42855</v>
      </c>
      <c r="R750" s="6" t="str">
        <f>VLOOKUP(A750:A5332,[1]BOM_INV_OPERATOR_DETAILS_OUTPUT!$A$2:$D$1233,4,FALSE)</f>
        <v>AI</v>
      </c>
      <c r="Y750" s="1" t="str">
        <f>"416564598"</f>
        <v>416564598</v>
      </c>
    </row>
    <row r="751" spans="1:25" x14ac:dyDescent="0.2">
      <c r="A751" s="9" t="s">
        <v>594</v>
      </c>
      <c r="B751" s="10">
        <v>42782</v>
      </c>
      <c r="C751" s="9" t="s">
        <v>595</v>
      </c>
      <c r="D751" s="9" t="s">
        <v>32</v>
      </c>
      <c r="E751" s="9" t="s">
        <v>2190</v>
      </c>
      <c r="F751" s="9">
        <v>25000000</v>
      </c>
      <c r="G751" s="8">
        <v>8141</v>
      </c>
      <c r="H751" s="4">
        <f t="shared" si="495"/>
        <v>0</v>
      </c>
      <c r="I751" s="4">
        <f t="shared" si="496"/>
        <v>0</v>
      </c>
      <c r="J751" s="4">
        <f t="shared" si="497"/>
        <v>0</v>
      </c>
      <c r="K751" s="4">
        <f t="shared" si="498"/>
        <v>8141</v>
      </c>
      <c r="L751" s="4">
        <f t="shared" si="499"/>
        <v>0</v>
      </c>
      <c r="M751" s="4">
        <f t="shared" si="500"/>
        <v>0</v>
      </c>
      <c r="N751" s="4">
        <f t="shared" si="501"/>
        <v>8141</v>
      </c>
      <c r="O751" s="5">
        <f t="shared" si="502"/>
        <v>73</v>
      </c>
      <c r="P751" s="6" t="str">
        <f t="shared" si="503"/>
        <v>61 To 90 Days</v>
      </c>
      <c r="Q751" s="7">
        <v>42855</v>
      </c>
      <c r="R751" s="6" t="s">
        <v>2178</v>
      </c>
      <c r="V751" s="1" t="s">
        <v>13</v>
      </c>
      <c r="W751" s="2">
        <v>42782</v>
      </c>
      <c r="X751" s="1" t="s">
        <v>14</v>
      </c>
      <c r="Y751" s="1" t="str">
        <f>"4052201373"</f>
        <v>4052201373</v>
      </c>
    </row>
    <row r="752" spans="1:25" x14ac:dyDescent="0.2">
      <c r="A752" s="9" t="s">
        <v>627</v>
      </c>
      <c r="B752" s="10">
        <v>42786</v>
      </c>
      <c r="C752" s="9" t="s">
        <v>628</v>
      </c>
      <c r="D752" s="9" t="s">
        <v>154</v>
      </c>
      <c r="E752" s="9" t="s">
        <v>2190</v>
      </c>
      <c r="F752" s="9">
        <v>0</v>
      </c>
      <c r="G752" s="8">
        <v>8150</v>
      </c>
      <c r="H752" s="4">
        <f t="shared" si="495"/>
        <v>0</v>
      </c>
      <c r="I752" s="4">
        <f t="shared" si="496"/>
        <v>0</v>
      </c>
      <c r="J752" s="4">
        <f t="shared" si="497"/>
        <v>0</v>
      </c>
      <c r="K752" s="4">
        <f t="shared" si="498"/>
        <v>8150</v>
      </c>
      <c r="L752" s="4">
        <f t="shared" si="499"/>
        <v>0</v>
      </c>
      <c r="M752" s="4">
        <f t="shared" si="500"/>
        <v>0</v>
      </c>
      <c r="N752" s="4">
        <f t="shared" si="501"/>
        <v>8150</v>
      </c>
      <c r="O752" s="5">
        <f t="shared" si="502"/>
        <v>69</v>
      </c>
      <c r="P752" s="6" t="str">
        <f t="shared" si="503"/>
        <v>61 To 90 Days</v>
      </c>
      <c r="Q752" s="7">
        <v>42855</v>
      </c>
      <c r="R752" s="6" t="s">
        <v>2178</v>
      </c>
      <c r="Y752" s="1" t="str">
        <f>"4720487782"</f>
        <v>4720487782</v>
      </c>
    </row>
    <row r="753" spans="1:25" x14ac:dyDescent="0.2">
      <c r="A753" s="9" t="s">
        <v>700</v>
      </c>
      <c r="B753" s="10">
        <v>42791</v>
      </c>
      <c r="C753" s="9" t="s">
        <v>701</v>
      </c>
      <c r="D753" s="9" t="s">
        <v>133</v>
      </c>
      <c r="E753" s="9" t="s">
        <v>2190</v>
      </c>
      <c r="F753" s="9">
        <v>20000000</v>
      </c>
      <c r="G753" s="8">
        <v>8153</v>
      </c>
      <c r="H753" s="4">
        <f t="shared" si="495"/>
        <v>0</v>
      </c>
      <c r="I753" s="4">
        <f t="shared" si="496"/>
        <v>0</v>
      </c>
      <c r="J753" s="4">
        <f t="shared" si="497"/>
        <v>0</v>
      </c>
      <c r="K753" s="4">
        <f t="shared" si="498"/>
        <v>8153</v>
      </c>
      <c r="L753" s="4">
        <f t="shared" si="499"/>
        <v>0</v>
      </c>
      <c r="M753" s="4">
        <f t="shared" si="500"/>
        <v>0</v>
      </c>
      <c r="N753" s="4">
        <f t="shared" si="501"/>
        <v>8153</v>
      </c>
      <c r="O753" s="5">
        <f t="shared" si="502"/>
        <v>64</v>
      </c>
      <c r="P753" s="6" t="str">
        <f t="shared" si="503"/>
        <v>61 To 90 Days</v>
      </c>
      <c r="Q753" s="7">
        <v>42855</v>
      </c>
      <c r="R753" s="6" t="s">
        <v>2178</v>
      </c>
      <c r="V753" s="1" t="s">
        <v>13</v>
      </c>
      <c r="W753" s="2">
        <v>42796</v>
      </c>
      <c r="X753" s="1" t="s">
        <v>14</v>
      </c>
      <c r="Y753" s="1" t="str">
        <f>"4210171401"</f>
        <v>4210171401</v>
      </c>
    </row>
    <row r="754" spans="1:25" x14ac:dyDescent="0.2">
      <c r="A754" s="9" t="s">
        <v>997</v>
      </c>
      <c r="B754" s="10">
        <v>42808</v>
      </c>
      <c r="C754" s="9" t="s">
        <v>998</v>
      </c>
      <c r="D754" s="9" t="s">
        <v>32</v>
      </c>
      <c r="E754" s="9" t="s">
        <v>2190</v>
      </c>
      <c r="F754" s="9">
        <v>25000000</v>
      </c>
      <c r="G754" s="8">
        <v>8160</v>
      </c>
      <c r="H754" s="4">
        <f t="shared" si="495"/>
        <v>0</v>
      </c>
      <c r="I754" s="4">
        <f t="shared" si="496"/>
        <v>0</v>
      </c>
      <c r="J754" s="4">
        <f t="shared" si="497"/>
        <v>8160</v>
      </c>
      <c r="K754" s="4">
        <f t="shared" si="498"/>
        <v>0</v>
      </c>
      <c r="L754" s="4">
        <f t="shared" si="499"/>
        <v>0</v>
      </c>
      <c r="M754" s="4">
        <f t="shared" si="500"/>
        <v>0</v>
      </c>
      <c r="N754" s="4">
        <f t="shared" si="501"/>
        <v>0</v>
      </c>
      <c r="O754" s="5">
        <f t="shared" si="502"/>
        <v>47</v>
      </c>
      <c r="P754" s="6" t="str">
        <f t="shared" si="503"/>
        <v>46 To 60 Days</v>
      </c>
      <c r="Q754" s="7">
        <v>42855</v>
      </c>
      <c r="R754" s="6" t="s">
        <v>2178</v>
      </c>
      <c r="V754" s="1" t="s">
        <v>13</v>
      </c>
      <c r="W754" s="2">
        <v>42808</v>
      </c>
      <c r="X754" s="1" t="s">
        <v>14</v>
      </c>
      <c r="Y754" s="1" t="str">
        <f>"4052205616"</f>
        <v>4052205616</v>
      </c>
    </row>
    <row r="755" spans="1:25" x14ac:dyDescent="0.2">
      <c r="A755" s="9" t="s">
        <v>288</v>
      </c>
      <c r="B755" s="10">
        <v>42745</v>
      </c>
      <c r="C755" s="9" t="s">
        <v>289</v>
      </c>
      <c r="D755" s="9" t="s">
        <v>133</v>
      </c>
      <c r="E755" s="9" t="s">
        <v>2190</v>
      </c>
      <c r="F755" s="9">
        <v>20000000</v>
      </c>
      <c r="G755" s="8">
        <v>8166</v>
      </c>
      <c r="H755" s="4">
        <f t="shared" si="495"/>
        <v>0</v>
      </c>
      <c r="I755" s="4">
        <f t="shared" si="496"/>
        <v>0</v>
      </c>
      <c r="J755" s="4">
        <f t="shared" si="497"/>
        <v>0</v>
      </c>
      <c r="K755" s="4">
        <f t="shared" si="498"/>
        <v>0</v>
      </c>
      <c r="L755" s="4">
        <f t="shared" si="499"/>
        <v>8166</v>
      </c>
      <c r="M755" s="4">
        <f t="shared" si="500"/>
        <v>0</v>
      </c>
      <c r="N755" s="4">
        <f t="shared" si="501"/>
        <v>8166</v>
      </c>
      <c r="O755" s="5">
        <f t="shared" si="502"/>
        <v>110</v>
      </c>
      <c r="P755" s="6" t="str">
        <f t="shared" si="503"/>
        <v>91 To 120 Days</v>
      </c>
      <c r="Q755" s="7">
        <v>42855</v>
      </c>
      <c r="R755" s="6" t="s">
        <v>2178</v>
      </c>
      <c r="V755" s="1" t="s">
        <v>13</v>
      </c>
      <c r="Y755" s="1" t="str">
        <f>"4060580258"</f>
        <v>4060580258</v>
      </c>
    </row>
    <row r="756" spans="1:25" x14ac:dyDescent="0.2">
      <c r="A756" s="9" t="s">
        <v>600</v>
      </c>
      <c r="B756" s="10">
        <v>42783</v>
      </c>
      <c r="C756" s="9" t="s">
        <v>601</v>
      </c>
      <c r="D756" s="9" t="s">
        <v>158</v>
      </c>
      <c r="E756" s="9" t="s">
        <v>2190</v>
      </c>
      <c r="F756" s="9">
        <v>0</v>
      </c>
      <c r="G756" s="8">
        <v>8170</v>
      </c>
      <c r="H756" s="4">
        <f t="shared" si="495"/>
        <v>0</v>
      </c>
      <c r="I756" s="4">
        <f t="shared" si="496"/>
        <v>0</v>
      </c>
      <c r="J756" s="4">
        <f t="shared" si="497"/>
        <v>0</v>
      </c>
      <c r="K756" s="4">
        <f t="shared" si="498"/>
        <v>8170</v>
      </c>
      <c r="L756" s="4">
        <f t="shared" si="499"/>
        <v>0</v>
      </c>
      <c r="M756" s="4">
        <f t="shared" si="500"/>
        <v>0</v>
      </c>
      <c r="N756" s="4">
        <f t="shared" si="501"/>
        <v>8170</v>
      </c>
      <c r="O756" s="5">
        <f t="shared" si="502"/>
        <v>72</v>
      </c>
      <c r="P756" s="6" t="str">
        <f t="shared" si="503"/>
        <v>61 To 90 Days</v>
      </c>
      <c r="Q756" s="7">
        <v>42855</v>
      </c>
      <c r="R756" s="6" t="s">
        <v>2178</v>
      </c>
      <c r="Y756" s="1" t="str">
        <f>"4930434359"</f>
        <v>4930434359</v>
      </c>
    </row>
    <row r="757" spans="1:25" x14ac:dyDescent="0.2">
      <c r="A757" s="9" t="s">
        <v>1048</v>
      </c>
      <c r="B757" s="10">
        <v>42811</v>
      </c>
      <c r="C757" s="9" t="s">
        <v>1049</v>
      </c>
      <c r="D757" s="9" t="s">
        <v>141</v>
      </c>
      <c r="E757" s="9" t="s">
        <v>2190</v>
      </c>
      <c r="F757" s="9">
        <v>0</v>
      </c>
      <c r="G757" s="8">
        <v>8181</v>
      </c>
      <c r="H757" s="4">
        <f t="shared" si="495"/>
        <v>0</v>
      </c>
      <c r="I757" s="4">
        <f t="shared" si="496"/>
        <v>8181</v>
      </c>
      <c r="J757" s="4">
        <f t="shared" si="497"/>
        <v>0</v>
      </c>
      <c r="K757" s="4">
        <f t="shared" si="498"/>
        <v>0</v>
      </c>
      <c r="L757" s="4">
        <f t="shared" si="499"/>
        <v>0</v>
      </c>
      <c r="M757" s="4">
        <f t="shared" si="500"/>
        <v>0</v>
      </c>
      <c r="N757" s="4">
        <f t="shared" si="501"/>
        <v>0</v>
      </c>
      <c r="O757" s="5">
        <f t="shared" si="502"/>
        <v>44</v>
      </c>
      <c r="P757" s="6" t="str">
        <f t="shared" si="503"/>
        <v>31 TO 45 Days</v>
      </c>
      <c r="Q757" s="7">
        <v>42855</v>
      </c>
      <c r="R757" s="6" t="s">
        <v>2178</v>
      </c>
      <c r="Y757" s="1" t="str">
        <f>"4071587255"</f>
        <v>4071587255</v>
      </c>
    </row>
    <row r="758" spans="1:25" x14ac:dyDescent="0.2">
      <c r="A758" s="9" t="s">
        <v>1544</v>
      </c>
      <c r="B758" s="10">
        <v>42825</v>
      </c>
      <c r="C758" s="9" t="s">
        <v>1545</v>
      </c>
      <c r="D758" s="9" t="s">
        <v>666</v>
      </c>
      <c r="E758" s="9" t="s">
        <v>2190</v>
      </c>
      <c r="F758" s="9">
        <v>3377500</v>
      </c>
      <c r="G758" s="8">
        <v>8182</v>
      </c>
      <c r="H758" s="4">
        <f t="shared" si="495"/>
        <v>8182</v>
      </c>
      <c r="I758" s="4">
        <f t="shared" si="496"/>
        <v>0</v>
      </c>
      <c r="J758" s="4">
        <f t="shared" si="497"/>
        <v>0</v>
      </c>
      <c r="K758" s="4">
        <f t="shared" si="498"/>
        <v>0</v>
      </c>
      <c r="L758" s="4">
        <f t="shared" si="499"/>
        <v>0</v>
      </c>
      <c r="M758" s="4">
        <f t="shared" si="500"/>
        <v>0</v>
      </c>
      <c r="N758" s="4">
        <f t="shared" si="501"/>
        <v>0</v>
      </c>
      <c r="O758" s="5">
        <f t="shared" si="502"/>
        <v>30</v>
      </c>
      <c r="P758" s="6" t="str">
        <f t="shared" si="503"/>
        <v>30 Days</v>
      </c>
      <c r="Q758" s="7">
        <v>42855</v>
      </c>
      <c r="R758" s="6" t="s">
        <v>2178</v>
      </c>
      <c r="S758" s="1">
        <v>123.98</v>
      </c>
      <c r="T758" s="1" t="s">
        <v>31</v>
      </c>
      <c r="V758" s="1" t="s">
        <v>13</v>
      </c>
      <c r="W758" s="2">
        <v>42825</v>
      </c>
      <c r="X758" s="1" t="s">
        <v>14</v>
      </c>
      <c r="Y758" s="1" t="str">
        <f>"410387627"</f>
        <v>410387627</v>
      </c>
    </row>
    <row r="759" spans="1:25" x14ac:dyDescent="0.2">
      <c r="A759" s="9" t="s">
        <v>1184</v>
      </c>
      <c r="B759" s="10">
        <v>42815</v>
      </c>
      <c r="C759" s="9" t="s">
        <v>1185</v>
      </c>
      <c r="D759" s="9" t="s">
        <v>164</v>
      </c>
      <c r="E759" s="9" t="s">
        <v>2190</v>
      </c>
      <c r="F759" s="9">
        <v>0</v>
      </c>
      <c r="G759" s="8">
        <v>8187</v>
      </c>
      <c r="H759" s="4">
        <f t="shared" si="495"/>
        <v>0</v>
      </c>
      <c r="I759" s="4">
        <f t="shared" si="496"/>
        <v>8187</v>
      </c>
      <c r="J759" s="4">
        <f t="shared" si="497"/>
        <v>0</v>
      </c>
      <c r="K759" s="4">
        <f t="shared" si="498"/>
        <v>0</v>
      </c>
      <c r="L759" s="4">
        <f t="shared" si="499"/>
        <v>0</v>
      </c>
      <c r="M759" s="4">
        <f t="shared" si="500"/>
        <v>0</v>
      </c>
      <c r="N759" s="4">
        <f t="shared" si="501"/>
        <v>0</v>
      </c>
      <c r="O759" s="5">
        <f t="shared" si="502"/>
        <v>40</v>
      </c>
      <c r="P759" s="6" t="str">
        <f t="shared" si="503"/>
        <v>31 TO 45 Days</v>
      </c>
      <c r="Q759" s="7">
        <v>42855</v>
      </c>
      <c r="R759" s="6" t="s">
        <v>2178</v>
      </c>
      <c r="Y759" s="1" t="str">
        <f>"4711236719"</f>
        <v>4711236719</v>
      </c>
    </row>
    <row r="760" spans="1:25" x14ac:dyDescent="0.2">
      <c r="A760" s="9" t="s">
        <v>871</v>
      </c>
      <c r="B760" s="10">
        <v>42796</v>
      </c>
      <c r="C760" s="9" t="s">
        <v>872</v>
      </c>
      <c r="D760" s="9" t="s">
        <v>164</v>
      </c>
      <c r="E760" s="9" t="s">
        <v>2190</v>
      </c>
      <c r="F760" s="9">
        <v>0</v>
      </c>
      <c r="G760" s="8">
        <v>8198</v>
      </c>
      <c r="H760" s="4">
        <f t="shared" si="495"/>
        <v>0</v>
      </c>
      <c r="I760" s="4">
        <f t="shared" si="496"/>
        <v>0</v>
      </c>
      <c r="J760" s="4">
        <f t="shared" si="497"/>
        <v>8198</v>
      </c>
      <c r="K760" s="4">
        <f t="shared" si="498"/>
        <v>0</v>
      </c>
      <c r="L760" s="4">
        <f t="shared" si="499"/>
        <v>0</v>
      </c>
      <c r="M760" s="4">
        <f t="shared" si="500"/>
        <v>0</v>
      </c>
      <c r="N760" s="4">
        <f t="shared" si="501"/>
        <v>0</v>
      </c>
      <c r="O760" s="5">
        <f t="shared" si="502"/>
        <v>59</v>
      </c>
      <c r="P760" s="6" t="str">
        <f t="shared" si="503"/>
        <v>46 To 60 Days</v>
      </c>
      <c r="Q760" s="7">
        <v>42855</v>
      </c>
      <c r="R760" s="6" t="s">
        <v>2178</v>
      </c>
      <c r="Y760" s="1" t="str">
        <f>"4711233202"</f>
        <v>4711233202</v>
      </c>
    </row>
    <row r="761" spans="1:25" x14ac:dyDescent="0.2">
      <c r="A761" s="9" t="s">
        <v>815</v>
      </c>
      <c r="B761" s="10">
        <v>42794</v>
      </c>
      <c r="C761" s="9" t="s">
        <v>816</v>
      </c>
      <c r="D761" s="9" t="s">
        <v>164</v>
      </c>
      <c r="E761" s="9" t="s">
        <v>2190</v>
      </c>
      <c r="F761" s="9">
        <v>0</v>
      </c>
      <c r="G761" s="8">
        <v>8200</v>
      </c>
      <c r="H761" s="4">
        <f t="shared" si="495"/>
        <v>0</v>
      </c>
      <c r="I761" s="4">
        <f t="shared" si="496"/>
        <v>0</v>
      </c>
      <c r="J761" s="4">
        <f t="shared" si="497"/>
        <v>0</v>
      </c>
      <c r="K761" s="4">
        <f t="shared" si="498"/>
        <v>8200</v>
      </c>
      <c r="L761" s="4">
        <f t="shared" si="499"/>
        <v>0</v>
      </c>
      <c r="M761" s="4">
        <f t="shared" si="500"/>
        <v>0</v>
      </c>
      <c r="N761" s="4">
        <f t="shared" si="501"/>
        <v>8200</v>
      </c>
      <c r="O761" s="5">
        <f t="shared" si="502"/>
        <v>61</v>
      </c>
      <c r="P761" s="6" t="str">
        <f t="shared" si="503"/>
        <v>61 To 90 Days</v>
      </c>
      <c r="Q761" s="7">
        <v>42855</v>
      </c>
      <c r="R761" s="6" t="s">
        <v>2178</v>
      </c>
      <c r="Y761" s="1" t="str">
        <f>"4711232251"</f>
        <v>4711232251</v>
      </c>
    </row>
    <row r="762" spans="1:25" x14ac:dyDescent="0.2">
      <c r="A762" s="9" t="s">
        <v>2163</v>
      </c>
      <c r="B762" s="10">
        <v>42840</v>
      </c>
      <c r="C762" s="9" t="s">
        <v>2164</v>
      </c>
      <c r="D762" s="9" t="s">
        <v>140</v>
      </c>
      <c r="E762" s="9" t="s">
        <v>2190</v>
      </c>
      <c r="F762" s="9">
        <v>0</v>
      </c>
      <c r="G762" s="8">
        <v>8205</v>
      </c>
      <c r="H762" s="4">
        <f t="shared" si="495"/>
        <v>8205</v>
      </c>
      <c r="I762" s="4">
        <f t="shared" si="496"/>
        <v>0</v>
      </c>
      <c r="J762" s="4">
        <f t="shared" si="497"/>
        <v>0</v>
      </c>
      <c r="K762" s="4">
        <f t="shared" si="498"/>
        <v>0</v>
      </c>
      <c r="L762" s="4">
        <f t="shared" si="499"/>
        <v>0</v>
      </c>
      <c r="M762" s="4">
        <f t="shared" si="500"/>
        <v>0</v>
      </c>
      <c r="N762" s="4">
        <f t="shared" si="501"/>
        <v>0</v>
      </c>
      <c r="O762" s="5">
        <f t="shared" si="502"/>
        <v>15</v>
      </c>
      <c r="P762" s="6" t="str">
        <f t="shared" si="503"/>
        <v>30 Days</v>
      </c>
      <c r="Q762" s="7">
        <v>42855</v>
      </c>
      <c r="R762" s="6" t="str">
        <f>VLOOKUP(A762:A5357,[1]BOM_INV_OPERATOR_DETAILS_OUTPUT!$A$2:$D$1233,4,FALSE)</f>
        <v>AI</v>
      </c>
      <c r="Y762" s="1" t="str">
        <f>"4395874589"</f>
        <v>4395874589</v>
      </c>
    </row>
    <row r="763" spans="1:25" x14ac:dyDescent="0.2">
      <c r="A763" s="9" t="s">
        <v>533</v>
      </c>
      <c r="B763" s="10">
        <v>42776</v>
      </c>
      <c r="C763" s="9" t="s">
        <v>534</v>
      </c>
      <c r="D763" s="9" t="s">
        <v>164</v>
      </c>
      <c r="E763" s="9" t="s">
        <v>2190</v>
      </c>
      <c r="F763" s="9">
        <v>0</v>
      </c>
      <c r="G763" s="8">
        <v>8208</v>
      </c>
      <c r="H763" s="4">
        <f t="shared" si="495"/>
        <v>0</v>
      </c>
      <c r="I763" s="4">
        <f t="shared" si="496"/>
        <v>0</v>
      </c>
      <c r="J763" s="4">
        <f t="shared" si="497"/>
        <v>0</v>
      </c>
      <c r="K763" s="4">
        <f t="shared" si="498"/>
        <v>8208</v>
      </c>
      <c r="L763" s="4">
        <f t="shared" si="499"/>
        <v>0</v>
      </c>
      <c r="M763" s="4">
        <f t="shared" si="500"/>
        <v>0</v>
      </c>
      <c r="N763" s="4">
        <f t="shared" si="501"/>
        <v>8208</v>
      </c>
      <c r="O763" s="5">
        <f t="shared" si="502"/>
        <v>79</v>
      </c>
      <c r="P763" s="6" t="str">
        <f t="shared" si="503"/>
        <v>61 To 90 Days</v>
      </c>
      <c r="Q763" s="7">
        <v>42855</v>
      </c>
      <c r="R763" s="6" t="s">
        <v>2178</v>
      </c>
      <c r="Y763" s="1" t="str">
        <f>"4711227571"</f>
        <v>4711227571</v>
      </c>
    </row>
    <row r="764" spans="1:25" x14ac:dyDescent="0.2">
      <c r="A764" s="9" t="s">
        <v>535</v>
      </c>
      <c r="B764" s="10">
        <v>42776</v>
      </c>
      <c r="C764" s="9" t="s">
        <v>536</v>
      </c>
      <c r="D764" s="9" t="s">
        <v>164</v>
      </c>
      <c r="E764" s="9" t="s">
        <v>2190</v>
      </c>
      <c r="F764" s="9">
        <v>0</v>
      </c>
      <c r="G764" s="8">
        <v>8208</v>
      </c>
      <c r="H764" s="4">
        <f t="shared" si="495"/>
        <v>0</v>
      </c>
      <c r="I764" s="4">
        <f t="shared" si="496"/>
        <v>0</v>
      </c>
      <c r="J764" s="4">
        <f t="shared" si="497"/>
        <v>0</v>
      </c>
      <c r="K764" s="4">
        <f t="shared" si="498"/>
        <v>8208</v>
      </c>
      <c r="L764" s="4">
        <f t="shared" si="499"/>
        <v>0</v>
      </c>
      <c r="M764" s="4">
        <f t="shared" si="500"/>
        <v>0</v>
      </c>
      <c r="N764" s="4">
        <f t="shared" si="501"/>
        <v>8208</v>
      </c>
      <c r="O764" s="5">
        <f t="shared" si="502"/>
        <v>79</v>
      </c>
      <c r="P764" s="6" t="str">
        <f t="shared" si="503"/>
        <v>61 To 90 Days</v>
      </c>
      <c r="Q764" s="7">
        <v>42855</v>
      </c>
      <c r="R764" s="6" t="s">
        <v>2178</v>
      </c>
      <c r="Y764" s="1" t="str">
        <f>"4711228050"</f>
        <v>4711228050</v>
      </c>
    </row>
    <row r="765" spans="1:25" x14ac:dyDescent="0.2">
      <c r="A765" s="9" t="s">
        <v>1954</v>
      </c>
      <c r="B765" s="10">
        <v>42836</v>
      </c>
      <c r="C765" s="9" t="s">
        <v>1955</v>
      </c>
      <c r="D765" s="9" t="s">
        <v>778</v>
      </c>
      <c r="E765" s="9" t="s">
        <v>2190</v>
      </c>
      <c r="F765" s="9">
        <v>200000</v>
      </c>
      <c r="G765" s="8">
        <v>8208</v>
      </c>
      <c r="H765" s="4">
        <f t="shared" si="495"/>
        <v>8208</v>
      </c>
      <c r="I765" s="4">
        <f t="shared" si="496"/>
        <v>0</v>
      </c>
      <c r="J765" s="4">
        <f t="shared" si="497"/>
        <v>0</v>
      </c>
      <c r="K765" s="4">
        <f t="shared" si="498"/>
        <v>0</v>
      </c>
      <c r="L765" s="4">
        <f t="shared" si="499"/>
        <v>0</v>
      </c>
      <c r="M765" s="4">
        <f t="shared" si="500"/>
        <v>0</v>
      </c>
      <c r="N765" s="4">
        <f t="shared" si="501"/>
        <v>0</v>
      </c>
      <c r="O765" s="5">
        <f t="shared" si="502"/>
        <v>19</v>
      </c>
      <c r="P765" s="6" t="str">
        <f t="shared" si="503"/>
        <v>30 Days</v>
      </c>
      <c r="Q765" s="7">
        <v>42855</v>
      </c>
      <c r="R765" s="6" t="str">
        <f>VLOOKUP(A765:A5361,[1]BOM_INV_OPERATOR_DETAILS_OUTPUT!$A$2:$D$1233,4,FALSE)</f>
        <v>AI</v>
      </c>
      <c r="Y765" s="1" t="str">
        <f>"423610546"</f>
        <v>423610546</v>
      </c>
    </row>
    <row r="766" spans="1:25" x14ac:dyDescent="0.2">
      <c r="A766" s="9" t="s">
        <v>321</v>
      </c>
      <c r="B766" s="10">
        <v>42748</v>
      </c>
      <c r="C766" s="9" t="s">
        <v>322</v>
      </c>
      <c r="D766" s="9" t="s">
        <v>133</v>
      </c>
      <c r="E766" s="9" t="s">
        <v>2190</v>
      </c>
      <c r="F766" s="9">
        <v>20000000</v>
      </c>
      <c r="G766" s="8">
        <v>8213</v>
      </c>
      <c r="H766" s="4">
        <f t="shared" si="495"/>
        <v>0</v>
      </c>
      <c r="I766" s="4">
        <f t="shared" si="496"/>
        <v>0</v>
      </c>
      <c r="J766" s="4">
        <f t="shared" si="497"/>
        <v>0</v>
      </c>
      <c r="K766" s="4">
        <f t="shared" si="498"/>
        <v>0</v>
      </c>
      <c r="L766" s="4">
        <f t="shared" si="499"/>
        <v>8213</v>
      </c>
      <c r="M766" s="4">
        <f t="shared" si="500"/>
        <v>0</v>
      </c>
      <c r="N766" s="4">
        <f t="shared" si="501"/>
        <v>8213</v>
      </c>
      <c r="O766" s="5">
        <f t="shared" si="502"/>
        <v>107</v>
      </c>
      <c r="P766" s="6" t="str">
        <f t="shared" si="503"/>
        <v>91 To 120 Days</v>
      </c>
      <c r="Q766" s="7">
        <v>42855</v>
      </c>
      <c r="R766" s="6" t="s">
        <v>2178</v>
      </c>
      <c r="V766" s="1" t="s">
        <v>13</v>
      </c>
      <c r="Y766" s="1" t="str">
        <f>"4210170695"</f>
        <v>4210170695</v>
      </c>
    </row>
    <row r="767" spans="1:25" x14ac:dyDescent="0.2">
      <c r="A767" s="9" t="s">
        <v>833</v>
      </c>
      <c r="B767" s="10">
        <v>42795</v>
      </c>
      <c r="C767" s="9" t="s">
        <v>834</v>
      </c>
      <c r="D767" s="9" t="s">
        <v>148</v>
      </c>
      <c r="E767" s="9" t="s">
        <v>2190</v>
      </c>
      <c r="F767" s="9">
        <v>500000</v>
      </c>
      <c r="G767" s="8">
        <v>8216</v>
      </c>
      <c r="H767" s="4">
        <f t="shared" si="495"/>
        <v>0</v>
      </c>
      <c r="I767" s="4">
        <f t="shared" si="496"/>
        <v>0</v>
      </c>
      <c r="J767" s="4">
        <f t="shared" si="497"/>
        <v>8216</v>
      </c>
      <c r="K767" s="4">
        <f t="shared" si="498"/>
        <v>0</v>
      </c>
      <c r="L767" s="4">
        <f t="shared" si="499"/>
        <v>0</v>
      </c>
      <c r="M767" s="4">
        <f t="shared" si="500"/>
        <v>0</v>
      </c>
      <c r="N767" s="4">
        <f t="shared" si="501"/>
        <v>0</v>
      </c>
      <c r="O767" s="5">
        <f t="shared" si="502"/>
        <v>60</v>
      </c>
      <c r="P767" s="6" t="str">
        <f t="shared" si="503"/>
        <v>46 To 60 Days</v>
      </c>
      <c r="Q767" s="7">
        <v>42855</v>
      </c>
      <c r="R767" s="6" t="s">
        <v>2178</v>
      </c>
      <c r="Y767" s="1" t="str">
        <f>"4750386128"</f>
        <v>4750386128</v>
      </c>
    </row>
    <row r="768" spans="1:25" x14ac:dyDescent="0.2">
      <c r="A768" s="9" t="s">
        <v>678</v>
      </c>
      <c r="B768" s="10">
        <v>42790</v>
      </c>
      <c r="C768" s="9" t="s">
        <v>679</v>
      </c>
      <c r="D768" s="9" t="s">
        <v>164</v>
      </c>
      <c r="E768" s="9" t="s">
        <v>2190</v>
      </c>
      <c r="F768" s="9">
        <v>0</v>
      </c>
      <c r="G768" s="8">
        <v>8217</v>
      </c>
      <c r="H768" s="4">
        <f t="shared" si="495"/>
        <v>0</v>
      </c>
      <c r="I768" s="4">
        <f t="shared" si="496"/>
        <v>0</v>
      </c>
      <c r="J768" s="4">
        <f t="shared" si="497"/>
        <v>0</v>
      </c>
      <c r="K768" s="4">
        <f t="shared" si="498"/>
        <v>8217</v>
      </c>
      <c r="L768" s="4">
        <f t="shared" si="499"/>
        <v>0</v>
      </c>
      <c r="M768" s="4">
        <f t="shared" si="500"/>
        <v>0</v>
      </c>
      <c r="N768" s="4">
        <f t="shared" si="501"/>
        <v>8217</v>
      </c>
      <c r="O768" s="5">
        <f t="shared" si="502"/>
        <v>65</v>
      </c>
      <c r="P768" s="6" t="str">
        <f t="shared" si="503"/>
        <v>61 To 90 Days</v>
      </c>
      <c r="Q768" s="7">
        <v>42855</v>
      </c>
      <c r="R768" s="6" t="s">
        <v>2178</v>
      </c>
      <c r="Y768" s="1" t="str">
        <f>"4711231621"</f>
        <v>4711231621</v>
      </c>
    </row>
    <row r="769" spans="1:25" x14ac:dyDescent="0.2">
      <c r="A769" s="9" t="s">
        <v>1928</v>
      </c>
      <c r="B769" s="10">
        <v>42835</v>
      </c>
      <c r="C769" s="9" t="s">
        <v>1929</v>
      </c>
      <c r="D769" s="9" t="s">
        <v>140</v>
      </c>
      <c r="E769" s="9" t="s">
        <v>2190</v>
      </c>
      <c r="F769" s="9">
        <v>0</v>
      </c>
      <c r="G769" s="8">
        <v>8217</v>
      </c>
      <c r="H769" s="4">
        <f t="shared" si="495"/>
        <v>8217</v>
      </c>
      <c r="I769" s="4">
        <f t="shared" si="496"/>
        <v>0</v>
      </c>
      <c r="J769" s="4">
        <f t="shared" si="497"/>
        <v>0</v>
      </c>
      <c r="K769" s="4">
        <f t="shared" si="498"/>
        <v>0</v>
      </c>
      <c r="L769" s="4">
        <f t="shared" si="499"/>
        <v>0</v>
      </c>
      <c r="M769" s="4">
        <f t="shared" si="500"/>
        <v>0</v>
      </c>
      <c r="N769" s="4">
        <f t="shared" si="501"/>
        <v>0</v>
      </c>
      <c r="O769" s="5">
        <f t="shared" si="502"/>
        <v>20</v>
      </c>
      <c r="P769" s="6" t="str">
        <f t="shared" si="503"/>
        <v>30 Days</v>
      </c>
      <c r="Q769" s="7">
        <v>42855</v>
      </c>
      <c r="R769" s="6" t="str">
        <f>VLOOKUP(A769:A5367,[1]BOM_INV_OPERATOR_DETAILS_OUTPUT!$A$2:$D$1233,4,FALSE)</f>
        <v>AI</v>
      </c>
      <c r="Y769" s="1" t="s">
        <v>1930</v>
      </c>
    </row>
    <row r="770" spans="1:25" x14ac:dyDescent="0.2">
      <c r="A770" s="9" t="s">
        <v>1136</v>
      </c>
      <c r="B770" s="10">
        <v>42814</v>
      </c>
      <c r="C770" s="9" t="s">
        <v>1137</v>
      </c>
      <c r="D770" s="9" t="s">
        <v>270</v>
      </c>
      <c r="E770" s="9" t="s">
        <v>2190</v>
      </c>
      <c r="F770" s="9">
        <v>0</v>
      </c>
      <c r="G770" s="8">
        <v>8218</v>
      </c>
      <c r="H770" s="4">
        <f t="shared" si="495"/>
        <v>0</v>
      </c>
      <c r="I770" s="4">
        <f t="shared" si="496"/>
        <v>8218</v>
      </c>
      <c r="J770" s="4">
        <f t="shared" si="497"/>
        <v>0</v>
      </c>
      <c r="K770" s="4">
        <f t="shared" si="498"/>
        <v>0</v>
      </c>
      <c r="L770" s="4">
        <f t="shared" si="499"/>
        <v>0</v>
      </c>
      <c r="M770" s="4">
        <f t="shared" si="500"/>
        <v>0</v>
      </c>
      <c r="N770" s="4">
        <f t="shared" si="501"/>
        <v>0</v>
      </c>
      <c r="O770" s="5">
        <f t="shared" si="502"/>
        <v>41</v>
      </c>
      <c r="P770" s="6" t="str">
        <f t="shared" si="503"/>
        <v>31 TO 45 Days</v>
      </c>
      <c r="Q770" s="7">
        <v>42855</v>
      </c>
      <c r="R770" s="6" t="s">
        <v>2178</v>
      </c>
      <c r="Y770" s="1" t="str">
        <f>"4540130925"</f>
        <v>4540130925</v>
      </c>
    </row>
    <row r="771" spans="1:25" x14ac:dyDescent="0.2">
      <c r="A771" s="9" t="s">
        <v>1608</v>
      </c>
      <c r="B771" s="10">
        <v>42826</v>
      </c>
      <c r="C771" s="9" t="s">
        <v>1609</v>
      </c>
      <c r="D771" s="9" t="s">
        <v>164</v>
      </c>
      <c r="E771" s="9" t="s">
        <v>2190</v>
      </c>
      <c r="F771" s="9">
        <v>0</v>
      </c>
      <c r="G771" s="8">
        <v>8219</v>
      </c>
      <c r="H771" s="4">
        <f t="shared" si="495"/>
        <v>8219</v>
      </c>
      <c r="I771" s="4">
        <f t="shared" si="496"/>
        <v>0</v>
      </c>
      <c r="J771" s="4">
        <f t="shared" si="497"/>
        <v>0</v>
      </c>
      <c r="K771" s="4">
        <f t="shared" si="498"/>
        <v>0</v>
      </c>
      <c r="L771" s="4">
        <f t="shared" si="499"/>
        <v>0</v>
      </c>
      <c r="M771" s="4">
        <f t="shared" si="500"/>
        <v>0</v>
      </c>
      <c r="N771" s="4">
        <f t="shared" si="501"/>
        <v>0</v>
      </c>
      <c r="O771" s="5">
        <f t="shared" si="502"/>
        <v>29</v>
      </c>
      <c r="P771" s="6" t="str">
        <f t="shared" si="503"/>
        <v>30 Days</v>
      </c>
      <c r="Q771" s="7">
        <v>42855</v>
      </c>
      <c r="R771" s="6" t="s">
        <v>2178</v>
      </c>
      <c r="Y771" s="1" t="str">
        <f>"4711240989"</f>
        <v>4711240989</v>
      </c>
    </row>
    <row r="772" spans="1:25" x14ac:dyDescent="0.2">
      <c r="A772" s="9" t="s">
        <v>590</v>
      </c>
      <c r="B772" s="10">
        <v>42782</v>
      </c>
      <c r="C772" s="9" t="s">
        <v>591</v>
      </c>
      <c r="D772" s="9" t="s">
        <v>164</v>
      </c>
      <c r="E772" s="9" t="s">
        <v>2190</v>
      </c>
      <c r="F772" s="9">
        <v>0</v>
      </c>
      <c r="G772" s="8">
        <v>8220</v>
      </c>
      <c r="H772" s="4">
        <f t="shared" si="495"/>
        <v>0</v>
      </c>
      <c r="I772" s="4">
        <f t="shared" si="496"/>
        <v>0</v>
      </c>
      <c r="J772" s="4">
        <f t="shared" si="497"/>
        <v>0</v>
      </c>
      <c r="K772" s="4">
        <f t="shared" si="498"/>
        <v>8220</v>
      </c>
      <c r="L772" s="4">
        <f t="shared" si="499"/>
        <v>0</v>
      </c>
      <c r="M772" s="4">
        <f t="shared" si="500"/>
        <v>0</v>
      </c>
      <c r="N772" s="4">
        <f t="shared" si="501"/>
        <v>8220</v>
      </c>
      <c r="O772" s="5">
        <f t="shared" si="502"/>
        <v>73</v>
      </c>
      <c r="P772" s="6" t="str">
        <f t="shared" si="503"/>
        <v>61 To 90 Days</v>
      </c>
      <c r="Q772" s="7">
        <v>42855</v>
      </c>
      <c r="R772" s="6" t="s">
        <v>2178</v>
      </c>
      <c r="Y772" s="1" t="str">
        <f>"4711229491"</f>
        <v>4711229491</v>
      </c>
    </row>
    <row r="773" spans="1:25" x14ac:dyDescent="0.2">
      <c r="A773" s="9" t="s">
        <v>355</v>
      </c>
      <c r="B773" s="10">
        <v>42755</v>
      </c>
      <c r="C773" s="9" t="s">
        <v>356</v>
      </c>
      <c r="D773" s="9" t="s">
        <v>354</v>
      </c>
      <c r="E773" s="9" t="s">
        <v>2190</v>
      </c>
      <c r="F773" s="9">
        <v>0</v>
      </c>
      <c r="G773" s="8">
        <v>8220</v>
      </c>
      <c r="H773" s="4">
        <f t="shared" si="495"/>
        <v>0</v>
      </c>
      <c r="I773" s="4">
        <f t="shared" si="496"/>
        <v>0</v>
      </c>
      <c r="J773" s="4">
        <f t="shared" si="497"/>
        <v>0</v>
      </c>
      <c r="K773" s="4">
        <f t="shared" si="498"/>
        <v>0</v>
      </c>
      <c r="L773" s="4">
        <f t="shared" si="499"/>
        <v>8220</v>
      </c>
      <c r="M773" s="4">
        <f t="shared" si="500"/>
        <v>0</v>
      </c>
      <c r="N773" s="4">
        <f t="shared" si="501"/>
        <v>8220</v>
      </c>
      <c r="O773" s="5">
        <f t="shared" si="502"/>
        <v>100</v>
      </c>
      <c r="P773" s="6" t="str">
        <f t="shared" si="503"/>
        <v>91 To 120 Days</v>
      </c>
      <c r="Q773" s="7">
        <v>42855</v>
      </c>
      <c r="R773" s="6" t="s">
        <v>2178</v>
      </c>
      <c r="Y773" s="1" t="str">
        <f>"419164951"</f>
        <v>419164951</v>
      </c>
    </row>
    <row r="774" spans="1:25" x14ac:dyDescent="0.2">
      <c r="A774" s="9" t="s">
        <v>1229</v>
      </c>
      <c r="B774" s="10">
        <v>42816</v>
      </c>
      <c r="C774" s="9" t="s">
        <v>1230</v>
      </c>
      <c r="D774" s="9" t="s">
        <v>164</v>
      </c>
      <c r="E774" s="9" t="s">
        <v>2190</v>
      </c>
      <c r="F774" s="9">
        <v>0</v>
      </c>
      <c r="G774" s="8">
        <v>8223</v>
      </c>
      <c r="H774" s="4">
        <f t="shared" si="495"/>
        <v>0</v>
      </c>
      <c r="I774" s="4">
        <f t="shared" si="496"/>
        <v>8223</v>
      </c>
      <c r="J774" s="4">
        <f t="shared" si="497"/>
        <v>0</v>
      </c>
      <c r="K774" s="4">
        <f t="shared" si="498"/>
        <v>0</v>
      </c>
      <c r="L774" s="4">
        <f t="shared" si="499"/>
        <v>0</v>
      </c>
      <c r="M774" s="4">
        <f t="shared" si="500"/>
        <v>0</v>
      </c>
      <c r="N774" s="4">
        <f t="shared" si="501"/>
        <v>0</v>
      </c>
      <c r="O774" s="5">
        <f t="shared" si="502"/>
        <v>39</v>
      </c>
      <c r="P774" s="6" t="str">
        <f t="shared" si="503"/>
        <v>31 TO 45 Days</v>
      </c>
      <c r="Q774" s="7">
        <v>42855</v>
      </c>
      <c r="R774" s="6" t="s">
        <v>2178</v>
      </c>
      <c r="Y774" s="1" t="str">
        <f>"4711236235"</f>
        <v>4711236235</v>
      </c>
    </row>
    <row r="775" spans="1:25" x14ac:dyDescent="0.2">
      <c r="A775" s="9" t="s">
        <v>650</v>
      </c>
      <c r="B775" s="10">
        <v>42787</v>
      </c>
      <c r="C775" s="9" t="s">
        <v>651</v>
      </c>
      <c r="D775" s="9" t="s">
        <v>164</v>
      </c>
      <c r="E775" s="9" t="s">
        <v>2190</v>
      </c>
      <c r="F775" s="9">
        <v>0</v>
      </c>
      <c r="G775" s="8">
        <v>8228</v>
      </c>
      <c r="H775" s="4">
        <f t="shared" si="495"/>
        <v>0</v>
      </c>
      <c r="I775" s="4">
        <f t="shared" si="496"/>
        <v>0</v>
      </c>
      <c r="J775" s="4">
        <f t="shared" si="497"/>
        <v>0</v>
      </c>
      <c r="K775" s="4">
        <f t="shared" si="498"/>
        <v>8228</v>
      </c>
      <c r="L775" s="4">
        <f t="shared" si="499"/>
        <v>0</v>
      </c>
      <c r="M775" s="4">
        <f t="shared" si="500"/>
        <v>0</v>
      </c>
      <c r="N775" s="4">
        <f t="shared" si="501"/>
        <v>8228</v>
      </c>
      <c r="O775" s="5">
        <f t="shared" si="502"/>
        <v>68</v>
      </c>
      <c r="P775" s="6" t="str">
        <f t="shared" si="503"/>
        <v>61 To 90 Days</v>
      </c>
      <c r="Q775" s="7">
        <v>42855</v>
      </c>
      <c r="R775" s="6" t="s">
        <v>2178</v>
      </c>
      <c r="Y775" s="1" t="str">
        <f>"4711228488"</f>
        <v>4711228488</v>
      </c>
    </row>
    <row r="776" spans="1:25" x14ac:dyDescent="0.2">
      <c r="A776" s="9" t="s">
        <v>652</v>
      </c>
      <c r="B776" s="10">
        <v>42787</v>
      </c>
      <c r="C776" s="9" t="s">
        <v>653</v>
      </c>
      <c r="D776" s="9" t="s">
        <v>164</v>
      </c>
      <c r="E776" s="9" t="s">
        <v>2190</v>
      </c>
      <c r="F776" s="9">
        <v>0</v>
      </c>
      <c r="G776" s="8">
        <v>8228</v>
      </c>
      <c r="H776" s="4">
        <f t="shared" si="495"/>
        <v>0</v>
      </c>
      <c r="I776" s="4">
        <f t="shared" si="496"/>
        <v>0</v>
      </c>
      <c r="J776" s="4">
        <f t="shared" si="497"/>
        <v>0</v>
      </c>
      <c r="K776" s="4">
        <f t="shared" si="498"/>
        <v>8228</v>
      </c>
      <c r="L776" s="4">
        <f t="shared" si="499"/>
        <v>0</v>
      </c>
      <c r="M776" s="4">
        <f t="shared" si="500"/>
        <v>0</v>
      </c>
      <c r="N776" s="4">
        <f t="shared" si="501"/>
        <v>8228</v>
      </c>
      <c r="O776" s="5">
        <f t="shared" si="502"/>
        <v>68</v>
      </c>
      <c r="P776" s="6" t="str">
        <f t="shared" si="503"/>
        <v>61 To 90 Days</v>
      </c>
      <c r="Q776" s="7">
        <v>42855</v>
      </c>
      <c r="R776" s="6" t="s">
        <v>2178</v>
      </c>
      <c r="Y776" s="1" t="str">
        <f>"4711229016"</f>
        <v>4711229016</v>
      </c>
    </row>
    <row r="777" spans="1:25" x14ac:dyDescent="0.2">
      <c r="A777" s="9" t="s">
        <v>656</v>
      </c>
      <c r="B777" s="10">
        <v>42787</v>
      </c>
      <c r="C777" s="9" t="s">
        <v>657</v>
      </c>
      <c r="D777" s="9" t="s">
        <v>164</v>
      </c>
      <c r="E777" s="9" t="s">
        <v>2190</v>
      </c>
      <c r="F777" s="9">
        <v>0</v>
      </c>
      <c r="G777" s="8">
        <v>8228</v>
      </c>
      <c r="H777" s="4">
        <f t="shared" si="495"/>
        <v>0</v>
      </c>
      <c r="I777" s="4">
        <f t="shared" si="496"/>
        <v>0</v>
      </c>
      <c r="J777" s="4">
        <f t="shared" si="497"/>
        <v>0</v>
      </c>
      <c r="K777" s="4">
        <f t="shared" si="498"/>
        <v>8228</v>
      </c>
      <c r="L777" s="4">
        <f t="shared" si="499"/>
        <v>0</v>
      </c>
      <c r="M777" s="4">
        <f t="shared" si="500"/>
        <v>0</v>
      </c>
      <c r="N777" s="4">
        <f t="shared" si="501"/>
        <v>8228</v>
      </c>
      <c r="O777" s="5">
        <f t="shared" si="502"/>
        <v>68</v>
      </c>
      <c r="P777" s="6" t="str">
        <f t="shared" si="503"/>
        <v>61 To 90 Days</v>
      </c>
      <c r="Q777" s="7">
        <v>42855</v>
      </c>
      <c r="R777" s="6" t="s">
        <v>2178</v>
      </c>
      <c r="Y777" s="1" t="str">
        <f>"4711228826"</f>
        <v>4711228826</v>
      </c>
    </row>
    <row r="778" spans="1:25" x14ac:dyDescent="0.2">
      <c r="A778" s="9" t="s">
        <v>764</v>
      </c>
      <c r="B778" s="10">
        <v>42793</v>
      </c>
      <c r="C778" s="9" t="s">
        <v>765</v>
      </c>
      <c r="D778" s="9" t="s">
        <v>666</v>
      </c>
      <c r="E778" s="9" t="s">
        <v>2190</v>
      </c>
      <c r="F778" s="9">
        <v>3377500</v>
      </c>
      <c r="G778" s="8">
        <v>8239</v>
      </c>
      <c r="H778" s="4">
        <f t="shared" ref="H778:H808" si="504">IF(O778&lt;=30,G778,0)</f>
        <v>0</v>
      </c>
      <c r="I778" s="4">
        <f t="shared" ref="I778:I808" si="505">IF(AND(O778&gt;30,O778&lt;=45),G778,0)</f>
        <v>0</v>
      </c>
      <c r="J778" s="4">
        <f t="shared" ref="J778:J808" si="506">IF(AND(O778&gt;45,O778&lt;=60),G778,0)</f>
        <v>0</v>
      </c>
      <c r="K778" s="4">
        <f t="shared" ref="K778:K808" si="507">IF(AND(O778&gt;60,O778&lt;=90),G778,0)</f>
        <v>8239</v>
      </c>
      <c r="L778" s="4">
        <f t="shared" ref="L778:L808" si="508">IF(AND(O778&gt;90,O778&lt;=120),G778,0)</f>
        <v>0</v>
      </c>
      <c r="M778" s="4">
        <f t="shared" ref="M778:M808" si="509">IF(O778&gt;120,G778,0)</f>
        <v>0</v>
      </c>
      <c r="N778" s="4">
        <f t="shared" ref="N778:N808" si="510">IF(O778&gt;60,G778,0)</f>
        <v>8239</v>
      </c>
      <c r="O778" s="5">
        <f t="shared" ref="O778:O808" si="511">Q778-B778</f>
        <v>62</v>
      </c>
      <c r="P778" s="6" t="str">
        <f t="shared" ref="P778:P808" si="512">IF(AND(O778&lt;=30),"30 Days",IF(AND(O778&gt;30,O778&lt;=45),"31 TO 45 Days",IF(AND(O778&gt;45,O778&lt;=60),"46 To 60 Days",IF(AND(O778&gt;60,O778&lt;=90),"61 To 90 Days",IF(AND(O778&gt;90,O778&lt;=120),"91 To 120 Days",IF(AND(O778&gt;120),"Plus120Days",))))))</f>
        <v>61 To 90 Days</v>
      </c>
      <c r="Q778" s="7">
        <v>42855</v>
      </c>
      <c r="R778" s="6" t="s">
        <v>2178</v>
      </c>
      <c r="S778" s="1">
        <v>121.46</v>
      </c>
      <c r="T778" s="1" t="s">
        <v>31</v>
      </c>
      <c r="Y778" s="1" t="str">
        <f>"4912881467"</f>
        <v>4912881467</v>
      </c>
    </row>
    <row r="779" spans="1:25" x14ac:dyDescent="0.2">
      <c r="A779" s="9" t="s">
        <v>273</v>
      </c>
      <c r="B779" s="10">
        <v>42744</v>
      </c>
      <c r="C779" s="9" t="s">
        <v>274</v>
      </c>
      <c r="D779" s="9" t="s">
        <v>154</v>
      </c>
      <c r="E779" s="9" t="s">
        <v>2190</v>
      </c>
      <c r="F779" s="9">
        <v>0</v>
      </c>
      <c r="G779" s="8">
        <v>8239</v>
      </c>
      <c r="H779" s="4">
        <f t="shared" si="504"/>
        <v>0</v>
      </c>
      <c r="I779" s="4">
        <f t="shared" si="505"/>
        <v>0</v>
      </c>
      <c r="J779" s="4">
        <f t="shared" si="506"/>
        <v>0</v>
      </c>
      <c r="K779" s="4">
        <f t="shared" si="507"/>
        <v>0</v>
      </c>
      <c r="L779" s="4">
        <f t="shared" si="508"/>
        <v>8239</v>
      </c>
      <c r="M779" s="4">
        <f t="shared" si="509"/>
        <v>0</v>
      </c>
      <c r="N779" s="4">
        <f t="shared" si="510"/>
        <v>8239</v>
      </c>
      <c r="O779" s="5">
        <f t="shared" si="511"/>
        <v>111</v>
      </c>
      <c r="P779" s="6" t="str">
        <f t="shared" si="512"/>
        <v>91 To 120 Days</v>
      </c>
      <c r="Q779" s="7">
        <v>42855</v>
      </c>
      <c r="R779" s="6" t="s">
        <v>2178</v>
      </c>
      <c r="Y779" s="1" t="str">
        <f>"4720485254"</f>
        <v>4720485254</v>
      </c>
    </row>
    <row r="780" spans="1:25" x14ac:dyDescent="0.2">
      <c r="A780" s="9" t="s">
        <v>467</v>
      </c>
      <c r="B780" s="10">
        <v>42768</v>
      </c>
      <c r="C780" s="9" t="s">
        <v>468</v>
      </c>
      <c r="D780" s="9" t="s">
        <v>466</v>
      </c>
      <c r="E780" s="9" t="s">
        <v>2190</v>
      </c>
      <c r="F780" s="9">
        <v>200000</v>
      </c>
      <c r="G780" s="8">
        <v>8246</v>
      </c>
      <c r="H780" s="4">
        <f t="shared" si="504"/>
        <v>0</v>
      </c>
      <c r="I780" s="4">
        <f t="shared" si="505"/>
        <v>0</v>
      </c>
      <c r="J780" s="4">
        <f t="shared" si="506"/>
        <v>0</v>
      </c>
      <c r="K780" s="4">
        <f t="shared" si="507"/>
        <v>8246</v>
      </c>
      <c r="L780" s="4">
        <f t="shared" si="508"/>
        <v>0</v>
      </c>
      <c r="M780" s="4">
        <f t="shared" si="509"/>
        <v>0</v>
      </c>
      <c r="N780" s="4">
        <f t="shared" si="510"/>
        <v>8246</v>
      </c>
      <c r="O780" s="5">
        <f t="shared" si="511"/>
        <v>87</v>
      </c>
      <c r="P780" s="6" t="str">
        <f t="shared" si="512"/>
        <v>61 To 90 Days</v>
      </c>
      <c r="Q780" s="7">
        <v>42855</v>
      </c>
      <c r="R780" s="6" t="s">
        <v>2178</v>
      </c>
      <c r="Y780" s="1" t="str">
        <f>"4570267995"</f>
        <v>4570267995</v>
      </c>
    </row>
    <row r="781" spans="1:25" x14ac:dyDescent="0.2">
      <c r="A781" s="9" t="s">
        <v>2059</v>
      </c>
      <c r="B781" s="10">
        <v>42837</v>
      </c>
      <c r="C781" s="9" t="s">
        <v>2060</v>
      </c>
      <c r="D781" s="9" t="s">
        <v>144</v>
      </c>
      <c r="E781" s="9" t="s">
        <v>2190</v>
      </c>
      <c r="F781" s="9">
        <v>2300000</v>
      </c>
      <c r="G781" s="8">
        <v>8246</v>
      </c>
      <c r="H781" s="4">
        <f t="shared" si="504"/>
        <v>8246</v>
      </c>
      <c r="I781" s="4">
        <f t="shared" si="505"/>
        <v>0</v>
      </c>
      <c r="J781" s="4">
        <f t="shared" si="506"/>
        <v>0</v>
      </c>
      <c r="K781" s="4">
        <f t="shared" si="507"/>
        <v>0</v>
      </c>
      <c r="L781" s="4">
        <f t="shared" si="508"/>
        <v>0</v>
      </c>
      <c r="M781" s="4">
        <f t="shared" si="509"/>
        <v>0</v>
      </c>
      <c r="N781" s="4">
        <f t="shared" si="510"/>
        <v>0</v>
      </c>
      <c r="O781" s="5">
        <f t="shared" si="511"/>
        <v>18</v>
      </c>
      <c r="P781" s="6" t="str">
        <f t="shared" si="512"/>
        <v>30 Days</v>
      </c>
      <c r="Q781" s="7">
        <v>42855</v>
      </c>
      <c r="R781" s="6" t="str">
        <f>VLOOKUP(A781:A5396,[1]BOM_INV_OPERATOR_DETAILS_OUTPUT!$A$2:$D$1233,4,FALSE)</f>
        <v>AI</v>
      </c>
      <c r="Y781" s="1" t="str">
        <f>"4912914896"</f>
        <v>4912914896</v>
      </c>
    </row>
    <row r="782" spans="1:25" x14ac:dyDescent="0.2">
      <c r="A782" s="9" t="s">
        <v>537</v>
      </c>
      <c r="B782" s="10">
        <v>42776</v>
      </c>
      <c r="C782" s="9" t="s">
        <v>538</v>
      </c>
      <c r="D782" s="9" t="s">
        <v>164</v>
      </c>
      <c r="E782" s="9" t="s">
        <v>2190</v>
      </c>
      <c r="F782" s="9">
        <v>0</v>
      </c>
      <c r="G782" s="8">
        <v>8252</v>
      </c>
      <c r="H782" s="4">
        <f t="shared" si="504"/>
        <v>0</v>
      </c>
      <c r="I782" s="4">
        <f t="shared" si="505"/>
        <v>0</v>
      </c>
      <c r="J782" s="4">
        <f t="shared" si="506"/>
        <v>0</v>
      </c>
      <c r="K782" s="4">
        <f t="shared" si="507"/>
        <v>8252</v>
      </c>
      <c r="L782" s="4">
        <f t="shared" si="508"/>
        <v>0</v>
      </c>
      <c r="M782" s="4">
        <f t="shared" si="509"/>
        <v>0</v>
      </c>
      <c r="N782" s="4">
        <f t="shared" si="510"/>
        <v>8252</v>
      </c>
      <c r="O782" s="5">
        <f t="shared" si="511"/>
        <v>79</v>
      </c>
      <c r="P782" s="6" t="str">
        <f t="shared" si="512"/>
        <v>61 To 90 Days</v>
      </c>
      <c r="Q782" s="7">
        <v>42855</v>
      </c>
      <c r="R782" s="6" t="s">
        <v>2178</v>
      </c>
      <c r="Y782" s="1" t="str">
        <f>"4711228181"</f>
        <v>4711228181</v>
      </c>
    </row>
    <row r="783" spans="1:25" x14ac:dyDescent="0.2">
      <c r="A783" s="9" t="s">
        <v>892</v>
      </c>
      <c r="B783" s="10">
        <v>42798</v>
      </c>
      <c r="C783" s="9" t="s">
        <v>893</v>
      </c>
      <c r="D783" s="9" t="s">
        <v>164</v>
      </c>
      <c r="E783" s="9" t="s">
        <v>2190</v>
      </c>
      <c r="F783" s="9">
        <v>0</v>
      </c>
      <c r="G783" s="8">
        <v>8252</v>
      </c>
      <c r="H783" s="4">
        <f t="shared" si="504"/>
        <v>0</v>
      </c>
      <c r="I783" s="4">
        <f t="shared" si="505"/>
        <v>0</v>
      </c>
      <c r="J783" s="4">
        <f t="shared" si="506"/>
        <v>8252</v>
      </c>
      <c r="K783" s="4">
        <f t="shared" si="507"/>
        <v>0</v>
      </c>
      <c r="L783" s="4">
        <f t="shared" si="508"/>
        <v>0</v>
      </c>
      <c r="M783" s="4">
        <f t="shared" si="509"/>
        <v>0</v>
      </c>
      <c r="N783" s="4">
        <f t="shared" si="510"/>
        <v>0</v>
      </c>
      <c r="O783" s="5">
        <f t="shared" si="511"/>
        <v>57</v>
      </c>
      <c r="P783" s="6" t="str">
        <f t="shared" si="512"/>
        <v>46 To 60 Days</v>
      </c>
      <c r="Q783" s="7">
        <v>42855</v>
      </c>
      <c r="R783" s="6" t="s">
        <v>2178</v>
      </c>
      <c r="Y783" s="1" t="str">
        <f>"4711233412"</f>
        <v>4711233412</v>
      </c>
    </row>
    <row r="784" spans="1:25" x14ac:dyDescent="0.2">
      <c r="A784" s="9" t="s">
        <v>159</v>
      </c>
      <c r="B784" s="10">
        <v>42662</v>
      </c>
      <c r="C784" s="9" t="s">
        <v>160</v>
      </c>
      <c r="D784" s="9" t="s">
        <v>158</v>
      </c>
      <c r="E784" s="9" t="s">
        <v>2190</v>
      </c>
      <c r="F784" s="9">
        <v>0</v>
      </c>
      <c r="G784" s="8">
        <v>8258</v>
      </c>
      <c r="H784" s="4">
        <f t="shared" si="504"/>
        <v>0</v>
      </c>
      <c r="I784" s="4">
        <f t="shared" si="505"/>
        <v>0</v>
      </c>
      <c r="J784" s="4">
        <f t="shared" si="506"/>
        <v>0</v>
      </c>
      <c r="K784" s="4">
        <f t="shared" si="507"/>
        <v>0</v>
      </c>
      <c r="L784" s="4">
        <f t="shared" si="508"/>
        <v>0</v>
      </c>
      <c r="M784" s="4">
        <f t="shared" si="509"/>
        <v>8258</v>
      </c>
      <c r="N784" s="4">
        <f t="shared" si="510"/>
        <v>8258</v>
      </c>
      <c r="O784" s="5">
        <f t="shared" si="511"/>
        <v>193</v>
      </c>
      <c r="P784" s="6" t="str">
        <f t="shared" si="512"/>
        <v>Plus120Days</v>
      </c>
      <c r="Q784" s="7">
        <v>42855</v>
      </c>
      <c r="R784" s="6" t="s">
        <v>2178</v>
      </c>
      <c r="Y784" s="1" t="str">
        <f>"4600152042"</f>
        <v>4600152042</v>
      </c>
    </row>
    <row r="785" spans="1:25" x14ac:dyDescent="0.2">
      <c r="A785" s="9" t="s">
        <v>1174</v>
      </c>
      <c r="B785" s="10">
        <v>42815</v>
      </c>
      <c r="C785" s="9" t="s">
        <v>1175</v>
      </c>
      <c r="D785" s="9" t="s">
        <v>30</v>
      </c>
      <c r="E785" s="9" t="s">
        <v>2190</v>
      </c>
      <c r="F785" s="9">
        <v>700000</v>
      </c>
      <c r="G785" s="8">
        <v>8259</v>
      </c>
      <c r="H785" s="4">
        <f t="shared" si="504"/>
        <v>0</v>
      </c>
      <c r="I785" s="4">
        <f t="shared" si="505"/>
        <v>8259</v>
      </c>
      <c r="J785" s="4">
        <f t="shared" si="506"/>
        <v>0</v>
      </c>
      <c r="K785" s="4">
        <f t="shared" si="507"/>
        <v>0</v>
      </c>
      <c r="L785" s="4">
        <f t="shared" si="508"/>
        <v>0</v>
      </c>
      <c r="M785" s="4">
        <f t="shared" si="509"/>
        <v>0</v>
      </c>
      <c r="N785" s="4">
        <f t="shared" si="510"/>
        <v>0</v>
      </c>
      <c r="O785" s="5">
        <f t="shared" si="511"/>
        <v>40</v>
      </c>
      <c r="P785" s="6" t="str">
        <f t="shared" si="512"/>
        <v>31 TO 45 Days</v>
      </c>
      <c r="Q785" s="7">
        <v>42855</v>
      </c>
      <c r="R785" s="6" t="s">
        <v>2178</v>
      </c>
      <c r="Y785" s="1" t="str">
        <f>"416564160"</f>
        <v>416564160</v>
      </c>
    </row>
    <row r="786" spans="1:25" x14ac:dyDescent="0.2">
      <c r="A786" s="9" t="s">
        <v>1120</v>
      </c>
      <c r="B786" s="10">
        <v>42814</v>
      </c>
      <c r="C786" s="9" t="s">
        <v>1121</v>
      </c>
      <c r="D786" s="9" t="s">
        <v>143</v>
      </c>
      <c r="E786" s="9" t="s">
        <v>2190</v>
      </c>
      <c r="F786" s="9">
        <v>600000</v>
      </c>
      <c r="G786" s="8">
        <v>8273</v>
      </c>
      <c r="H786" s="4">
        <f t="shared" si="504"/>
        <v>0</v>
      </c>
      <c r="I786" s="4">
        <f t="shared" si="505"/>
        <v>8273</v>
      </c>
      <c r="J786" s="4">
        <f t="shared" si="506"/>
        <v>0</v>
      </c>
      <c r="K786" s="4">
        <f t="shared" si="507"/>
        <v>0</v>
      </c>
      <c r="L786" s="4">
        <f t="shared" si="508"/>
        <v>0</v>
      </c>
      <c r="M786" s="4">
        <f t="shared" si="509"/>
        <v>0</v>
      </c>
      <c r="N786" s="4">
        <f t="shared" si="510"/>
        <v>0</v>
      </c>
      <c r="O786" s="5">
        <f t="shared" si="511"/>
        <v>41</v>
      </c>
      <c r="P786" s="6" t="str">
        <f t="shared" si="512"/>
        <v>31 TO 45 Days</v>
      </c>
      <c r="Q786" s="7">
        <v>42855</v>
      </c>
      <c r="R786" s="6" t="s">
        <v>2178</v>
      </c>
      <c r="V786" s="1" t="s">
        <v>13</v>
      </c>
      <c r="W786" s="2">
        <v>42814</v>
      </c>
      <c r="X786" s="1" t="s">
        <v>14</v>
      </c>
      <c r="Y786" s="1" t="str">
        <f>"4760147005"</f>
        <v>4760147005</v>
      </c>
    </row>
    <row r="787" spans="1:25" x14ac:dyDescent="0.2">
      <c r="A787" s="9" t="s">
        <v>827</v>
      </c>
      <c r="B787" s="10">
        <v>42795</v>
      </c>
      <c r="C787" s="9" t="s">
        <v>828</v>
      </c>
      <c r="D787" s="9" t="s">
        <v>143</v>
      </c>
      <c r="E787" s="9" t="s">
        <v>2190</v>
      </c>
      <c r="F787" s="9">
        <v>600000</v>
      </c>
      <c r="G787" s="8">
        <v>8275</v>
      </c>
      <c r="H787" s="4">
        <f t="shared" si="504"/>
        <v>0</v>
      </c>
      <c r="I787" s="4">
        <f t="shared" si="505"/>
        <v>0</v>
      </c>
      <c r="J787" s="4">
        <f t="shared" si="506"/>
        <v>8275</v>
      </c>
      <c r="K787" s="4">
        <f t="shared" si="507"/>
        <v>0</v>
      </c>
      <c r="L787" s="4">
        <f t="shared" si="508"/>
        <v>0</v>
      </c>
      <c r="M787" s="4">
        <f t="shared" si="509"/>
        <v>0</v>
      </c>
      <c r="N787" s="4">
        <f t="shared" si="510"/>
        <v>0</v>
      </c>
      <c r="O787" s="5">
        <f t="shared" si="511"/>
        <v>60</v>
      </c>
      <c r="P787" s="6" t="str">
        <f t="shared" si="512"/>
        <v>46 To 60 Days</v>
      </c>
      <c r="Q787" s="7">
        <v>42855</v>
      </c>
      <c r="R787" s="6" t="s">
        <v>2178</v>
      </c>
      <c r="V787" s="1" t="s">
        <v>13</v>
      </c>
      <c r="W787" s="2">
        <v>42796</v>
      </c>
      <c r="X787" s="1" t="s">
        <v>14</v>
      </c>
      <c r="Y787" s="1" t="str">
        <f>"4760146589"</f>
        <v>4760146589</v>
      </c>
    </row>
    <row r="788" spans="1:25" x14ac:dyDescent="0.2">
      <c r="A788" s="9" t="s">
        <v>315</v>
      </c>
      <c r="B788" s="10">
        <v>42748</v>
      </c>
      <c r="C788" s="9" t="s">
        <v>316</v>
      </c>
      <c r="D788" s="9" t="s">
        <v>133</v>
      </c>
      <c r="E788" s="9" t="s">
        <v>2190</v>
      </c>
      <c r="F788" s="9">
        <v>20000000</v>
      </c>
      <c r="G788" s="8">
        <v>8288</v>
      </c>
      <c r="H788" s="4">
        <f t="shared" si="504"/>
        <v>0</v>
      </c>
      <c r="I788" s="4">
        <f t="shared" si="505"/>
        <v>0</v>
      </c>
      <c r="J788" s="4">
        <f t="shared" si="506"/>
        <v>0</v>
      </c>
      <c r="K788" s="4">
        <f t="shared" si="507"/>
        <v>0</v>
      </c>
      <c r="L788" s="4">
        <f t="shared" si="508"/>
        <v>8288</v>
      </c>
      <c r="M788" s="4">
        <f t="shared" si="509"/>
        <v>0</v>
      </c>
      <c r="N788" s="4">
        <f t="shared" si="510"/>
        <v>8288</v>
      </c>
      <c r="O788" s="5">
        <f t="shared" si="511"/>
        <v>107</v>
      </c>
      <c r="P788" s="6" t="str">
        <f t="shared" si="512"/>
        <v>91 To 120 Days</v>
      </c>
      <c r="Q788" s="7">
        <v>42855</v>
      </c>
      <c r="R788" s="6" t="s">
        <v>2178</v>
      </c>
      <c r="V788" s="1" t="s">
        <v>13</v>
      </c>
      <c r="Y788" s="1" t="str">
        <f>"4210170687"</f>
        <v>4210170687</v>
      </c>
    </row>
    <row r="789" spans="1:25" x14ac:dyDescent="0.2">
      <c r="A789" s="9" t="s">
        <v>654</v>
      </c>
      <c r="B789" s="10">
        <v>42787</v>
      </c>
      <c r="C789" s="9" t="s">
        <v>655</v>
      </c>
      <c r="D789" s="9" t="s">
        <v>164</v>
      </c>
      <c r="E789" s="9" t="s">
        <v>2190</v>
      </c>
      <c r="F789" s="9">
        <v>0</v>
      </c>
      <c r="G789" s="8">
        <v>8294</v>
      </c>
      <c r="H789" s="4">
        <f t="shared" si="504"/>
        <v>0</v>
      </c>
      <c r="I789" s="4">
        <f t="shared" si="505"/>
        <v>0</v>
      </c>
      <c r="J789" s="4">
        <f t="shared" si="506"/>
        <v>0</v>
      </c>
      <c r="K789" s="4">
        <f t="shared" si="507"/>
        <v>8294</v>
      </c>
      <c r="L789" s="4">
        <f t="shared" si="508"/>
        <v>0</v>
      </c>
      <c r="M789" s="4">
        <f t="shared" si="509"/>
        <v>0</v>
      </c>
      <c r="N789" s="4">
        <f t="shared" si="510"/>
        <v>8294</v>
      </c>
      <c r="O789" s="5">
        <f t="shared" si="511"/>
        <v>68</v>
      </c>
      <c r="P789" s="6" t="str">
        <f t="shared" si="512"/>
        <v>61 To 90 Days</v>
      </c>
      <c r="Q789" s="7">
        <v>42855</v>
      </c>
      <c r="R789" s="6" t="s">
        <v>2178</v>
      </c>
      <c r="Y789" s="1" t="str">
        <f>"4711228824"</f>
        <v>4711228824</v>
      </c>
    </row>
    <row r="790" spans="1:25" x14ac:dyDescent="0.2">
      <c r="A790" s="9" t="s">
        <v>445</v>
      </c>
      <c r="B790" s="10">
        <v>42767</v>
      </c>
      <c r="C790" s="9" t="s">
        <v>446</v>
      </c>
      <c r="D790" s="9" t="s">
        <v>26</v>
      </c>
      <c r="E790" s="9" t="s">
        <v>2190</v>
      </c>
      <c r="F790" s="9">
        <v>100000</v>
      </c>
      <c r="G790" s="8">
        <v>8309</v>
      </c>
      <c r="H790" s="4">
        <f t="shared" si="504"/>
        <v>0</v>
      </c>
      <c r="I790" s="4">
        <f t="shared" si="505"/>
        <v>0</v>
      </c>
      <c r="J790" s="4">
        <f t="shared" si="506"/>
        <v>0</v>
      </c>
      <c r="K790" s="4">
        <f t="shared" si="507"/>
        <v>8309</v>
      </c>
      <c r="L790" s="4">
        <f t="shared" si="508"/>
        <v>0</v>
      </c>
      <c r="M790" s="4">
        <f t="shared" si="509"/>
        <v>0</v>
      </c>
      <c r="N790" s="4">
        <f t="shared" si="510"/>
        <v>8309</v>
      </c>
      <c r="O790" s="5">
        <f t="shared" si="511"/>
        <v>88</v>
      </c>
      <c r="P790" s="6" t="str">
        <f t="shared" si="512"/>
        <v>61 To 90 Days</v>
      </c>
      <c r="Q790" s="7">
        <v>42855</v>
      </c>
      <c r="R790" s="6" t="s">
        <v>2178</v>
      </c>
      <c r="V790" s="1" t="s">
        <v>13</v>
      </c>
      <c r="W790" s="2">
        <v>42767</v>
      </c>
      <c r="X790" s="1" t="s">
        <v>14</v>
      </c>
      <c r="Y790" s="1" t="str">
        <f>"419164974"</f>
        <v>419164974</v>
      </c>
    </row>
    <row r="791" spans="1:25" x14ac:dyDescent="0.2">
      <c r="A791" s="9" t="s">
        <v>783</v>
      </c>
      <c r="B791" s="10">
        <v>42794</v>
      </c>
      <c r="C791" s="9" t="s">
        <v>784</v>
      </c>
      <c r="D791" s="9" t="s">
        <v>133</v>
      </c>
      <c r="E791" s="9" t="s">
        <v>2190</v>
      </c>
      <c r="F791" s="9">
        <v>20000000</v>
      </c>
      <c r="G791" s="8">
        <v>8313</v>
      </c>
      <c r="H791" s="4">
        <f t="shared" si="504"/>
        <v>0</v>
      </c>
      <c r="I791" s="4">
        <f t="shared" si="505"/>
        <v>0</v>
      </c>
      <c r="J791" s="4">
        <f t="shared" si="506"/>
        <v>0</v>
      </c>
      <c r="K791" s="4">
        <f t="shared" si="507"/>
        <v>8313</v>
      </c>
      <c r="L791" s="4">
        <f t="shared" si="508"/>
        <v>0</v>
      </c>
      <c r="M791" s="4">
        <f t="shared" si="509"/>
        <v>0</v>
      </c>
      <c r="N791" s="4">
        <f t="shared" si="510"/>
        <v>8313</v>
      </c>
      <c r="O791" s="5">
        <f t="shared" si="511"/>
        <v>61</v>
      </c>
      <c r="P791" s="6" t="str">
        <f t="shared" si="512"/>
        <v>61 To 90 Days</v>
      </c>
      <c r="Q791" s="7">
        <v>42855</v>
      </c>
      <c r="R791" s="6" t="s">
        <v>2178</v>
      </c>
      <c r="V791" s="1" t="s">
        <v>13</v>
      </c>
      <c r="W791" s="2">
        <v>42796</v>
      </c>
      <c r="X791" s="1" t="s">
        <v>14</v>
      </c>
      <c r="Y791" s="1" t="str">
        <f>"4480467371"</f>
        <v>4480467371</v>
      </c>
    </row>
    <row r="792" spans="1:25" x14ac:dyDescent="0.2">
      <c r="A792" s="9" t="s">
        <v>1370</v>
      </c>
      <c r="B792" s="10">
        <v>42822</v>
      </c>
      <c r="C792" s="9" t="s">
        <v>1371</v>
      </c>
      <c r="D792" s="9" t="s">
        <v>133</v>
      </c>
      <c r="E792" s="9" t="s">
        <v>2190</v>
      </c>
      <c r="F792" s="9">
        <v>20000000</v>
      </c>
      <c r="G792" s="8">
        <v>8329</v>
      </c>
      <c r="H792" s="4">
        <f t="shared" si="504"/>
        <v>0</v>
      </c>
      <c r="I792" s="4">
        <f t="shared" si="505"/>
        <v>8329</v>
      </c>
      <c r="J792" s="4">
        <f t="shared" si="506"/>
        <v>0</v>
      </c>
      <c r="K792" s="4">
        <f t="shared" si="507"/>
        <v>0</v>
      </c>
      <c r="L792" s="4">
        <f t="shared" si="508"/>
        <v>0</v>
      </c>
      <c r="M792" s="4">
        <f t="shared" si="509"/>
        <v>0</v>
      </c>
      <c r="N792" s="4">
        <f t="shared" si="510"/>
        <v>0</v>
      </c>
      <c r="O792" s="5">
        <f t="shared" si="511"/>
        <v>33</v>
      </c>
      <c r="P792" s="6" t="str">
        <f t="shared" si="512"/>
        <v>31 TO 45 Days</v>
      </c>
      <c r="Q792" s="7">
        <v>42855</v>
      </c>
      <c r="R792" s="6" t="s">
        <v>2178</v>
      </c>
      <c r="V792" s="1" t="s">
        <v>13</v>
      </c>
      <c r="W792" s="2">
        <v>42822</v>
      </c>
      <c r="X792" s="1" t="s">
        <v>14</v>
      </c>
      <c r="Y792" s="1" t="str">
        <f>"4711235029"</f>
        <v>4711235029</v>
      </c>
    </row>
    <row r="793" spans="1:25" x14ac:dyDescent="0.2">
      <c r="A793" s="9" t="s">
        <v>802</v>
      </c>
      <c r="B793" s="10">
        <v>42794</v>
      </c>
      <c r="C793" s="9" t="s">
        <v>803</v>
      </c>
      <c r="D793" s="9" t="s">
        <v>164</v>
      </c>
      <c r="E793" s="9" t="s">
        <v>2190</v>
      </c>
      <c r="F793" s="9">
        <v>0</v>
      </c>
      <c r="G793" s="8">
        <v>8332</v>
      </c>
      <c r="H793" s="4">
        <f t="shared" si="504"/>
        <v>0</v>
      </c>
      <c r="I793" s="4">
        <f t="shared" si="505"/>
        <v>0</v>
      </c>
      <c r="J793" s="4">
        <f t="shared" si="506"/>
        <v>0</v>
      </c>
      <c r="K793" s="4">
        <f t="shared" si="507"/>
        <v>8332</v>
      </c>
      <c r="L793" s="4">
        <f t="shared" si="508"/>
        <v>0</v>
      </c>
      <c r="M793" s="4">
        <f t="shared" si="509"/>
        <v>0</v>
      </c>
      <c r="N793" s="4">
        <f t="shared" si="510"/>
        <v>8332</v>
      </c>
      <c r="O793" s="5">
        <f t="shared" si="511"/>
        <v>61</v>
      </c>
      <c r="P793" s="6" t="str">
        <f t="shared" si="512"/>
        <v>61 To 90 Days</v>
      </c>
      <c r="Q793" s="7">
        <v>42855</v>
      </c>
      <c r="R793" s="6" t="s">
        <v>2178</v>
      </c>
      <c r="Y793" s="1" t="str">
        <f>"4711231926"</f>
        <v>4711231926</v>
      </c>
    </row>
    <row r="794" spans="1:25" x14ac:dyDescent="0.2">
      <c r="A794" s="9" t="s">
        <v>658</v>
      </c>
      <c r="B794" s="10">
        <v>42787</v>
      </c>
      <c r="C794" s="9" t="s">
        <v>659</v>
      </c>
      <c r="D794" s="9" t="s">
        <v>164</v>
      </c>
      <c r="E794" s="9" t="s">
        <v>2190</v>
      </c>
      <c r="F794" s="9">
        <v>0</v>
      </c>
      <c r="G794" s="8">
        <v>8338</v>
      </c>
      <c r="H794" s="4">
        <f t="shared" si="504"/>
        <v>0</v>
      </c>
      <c r="I794" s="4">
        <f t="shared" si="505"/>
        <v>0</v>
      </c>
      <c r="J794" s="4">
        <f t="shared" si="506"/>
        <v>0</v>
      </c>
      <c r="K794" s="4">
        <f t="shared" si="507"/>
        <v>8338</v>
      </c>
      <c r="L794" s="4">
        <f t="shared" si="508"/>
        <v>0</v>
      </c>
      <c r="M794" s="4">
        <f t="shared" si="509"/>
        <v>0</v>
      </c>
      <c r="N794" s="4">
        <f t="shared" si="510"/>
        <v>8338</v>
      </c>
      <c r="O794" s="5">
        <f t="shared" si="511"/>
        <v>68</v>
      </c>
      <c r="P794" s="6" t="str">
        <f t="shared" si="512"/>
        <v>61 To 90 Days</v>
      </c>
      <c r="Q794" s="7">
        <v>42855</v>
      </c>
      <c r="R794" s="6" t="s">
        <v>2178</v>
      </c>
      <c r="Y794" s="1" t="str">
        <f>"4711228853"</f>
        <v>4711228853</v>
      </c>
    </row>
    <row r="795" spans="1:25" x14ac:dyDescent="0.2">
      <c r="A795" s="9" t="s">
        <v>416</v>
      </c>
      <c r="B795" s="10">
        <v>42765</v>
      </c>
      <c r="C795" s="9" t="s">
        <v>417</v>
      </c>
      <c r="D795" s="9" t="s">
        <v>42</v>
      </c>
      <c r="E795" s="9" t="s">
        <v>2190</v>
      </c>
      <c r="F795" s="9">
        <v>1480000</v>
      </c>
      <c r="G795" s="8">
        <v>8341</v>
      </c>
      <c r="H795" s="4">
        <f t="shared" si="504"/>
        <v>0</v>
      </c>
      <c r="I795" s="4">
        <f t="shared" si="505"/>
        <v>0</v>
      </c>
      <c r="J795" s="4">
        <f t="shared" si="506"/>
        <v>0</v>
      </c>
      <c r="K795" s="4">
        <f t="shared" si="507"/>
        <v>8341</v>
      </c>
      <c r="L795" s="4">
        <f t="shared" si="508"/>
        <v>0</v>
      </c>
      <c r="M795" s="4">
        <f t="shared" si="509"/>
        <v>0</v>
      </c>
      <c r="N795" s="4">
        <f t="shared" si="510"/>
        <v>8341</v>
      </c>
      <c r="O795" s="5">
        <f t="shared" si="511"/>
        <v>90</v>
      </c>
      <c r="P795" s="6" t="str">
        <f t="shared" si="512"/>
        <v>61 To 90 Days</v>
      </c>
      <c r="Q795" s="7">
        <v>42855</v>
      </c>
      <c r="R795" s="6" t="s">
        <v>2178</v>
      </c>
      <c r="Y795" s="1" t="str">
        <f>"4711225327"</f>
        <v>4711225327</v>
      </c>
    </row>
    <row r="796" spans="1:25" x14ac:dyDescent="0.2">
      <c r="A796" s="9" t="s">
        <v>1990</v>
      </c>
      <c r="B796" s="10">
        <v>42836</v>
      </c>
      <c r="C796" s="9" t="s">
        <v>1991</v>
      </c>
      <c r="D796" s="9" t="s">
        <v>42</v>
      </c>
      <c r="E796" s="9" t="s">
        <v>2190</v>
      </c>
      <c r="F796" s="9">
        <v>1480000</v>
      </c>
      <c r="G796" s="8">
        <v>8366</v>
      </c>
      <c r="H796" s="4">
        <f t="shared" si="504"/>
        <v>8366</v>
      </c>
      <c r="I796" s="4">
        <f t="shared" si="505"/>
        <v>0</v>
      </c>
      <c r="J796" s="4">
        <f t="shared" si="506"/>
        <v>0</v>
      </c>
      <c r="K796" s="4">
        <f t="shared" si="507"/>
        <v>0</v>
      </c>
      <c r="L796" s="4">
        <f t="shared" si="508"/>
        <v>0</v>
      </c>
      <c r="M796" s="4">
        <f t="shared" si="509"/>
        <v>0</v>
      </c>
      <c r="N796" s="4">
        <f t="shared" si="510"/>
        <v>0</v>
      </c>
      <c r="O796" s="5">
        <f t="shared" si="511"/>
        <v>19</v>
      </c>
      <c r="P796" s="6" t="str">
        <f t="shared" si="512"/>
        <v>30 Days</v>
      </c>
      <c r="Q796" s="7">
        <v>42855</v>
      </c>
      <c r="R796" s="6" t="str">
        <f>VLOOKUP(A796:A5424,[1]BOM_INV_OPERATOR_DETAILS_OUTPUT!$A$2:$D$1233,4,FALSE)</f>
        <v>AI</v>
      </c>
      <c r="Y796" s="1" t="str">
        <f>"4540131819"</f>
        <v>4540131819</v>
      </c>
    </row>
    <row r="797" spans="1:25" x14ac:dyDescent="0.2">
      <c r="A797" s="9" t="s">
        <v>682</v>
      </c>
      <c r="B797" s="10">
        <v>42790</v>
      </c>
      <c r="C797" s="9" t="s">
        <v>683</v>
      </c>
      <c r="D797" s="9" t="s">
        <v>164</v>
      </c>
      <c r="E797" s="9" t="s">
        <v>2190</v>
      </c>
      <c r="F797" s="9">
        <v>0</v>
      </c>
      <c r="G797" s="8">
        <v>8371</v>
      </c>
      <c r="H797" s="4">
        <f t="shared" si="504"/>
        <v>0</v>
      </c>
      <c r="I797" s="4">
        <f t="shared" si="505"/>
        <v>0</v>
      </c>
      <c r="J797" s="4">
        <f t="shared" si="506"/>
        <v>0</v>
      </c>
      <c r="K797" s="4">
        <f t="shared" si="507"/>
        <v>8371</v>
      </c>
      <c r="L797" s="4">
        <f t="shared" si="508"/>
        <v>0</v>
      </c>
      <c r="M797" s="4">
        <f t="shared" si="509"/>
        <v>0</v>
      </c>
      <c r="N797" s="4">
        <f t="shared" si="510"/>
        <v>8371</v>
      </c>
      <c r="O797" s="5">
        <f t="shared" si="511"/>
        <v>65</v>
      </c>
      <c r="P797" s="6" t="str">
        <f t="shared" si="512"/>
        <v>61 To 90 Days</v>
      </c>
      <c r="Q797" s="7">
        <v>42855</v>
      </c>
      <c r="R797" s="6" t="s">
        <v>2178</v>
      </c>
      <c r="Y797" s="1" t="str">
        <f>"4711231202"</f>
        <v>4711231202</v>
      </c>
    </row>
    <row r="798" spans="1:25" x14ac:dyDescent="0.2">
      <c r="A798" s="9" t="s">
        <v>1180</v>
      </c>
      <c r="B798" s="10">
        <v>42815</v>
      </c>
      <c r="C798" s="9" t="s">
        <v>1181</v>
      </c>
      <c r="D798" s="9" t="s">
        <v>164</v>
      </c>
      <c r="E798" s="9" t="s">
        <v>2190</v>
      </c>
      <c r="F798" s="9">
        <v>0</v>
      </c>
      <c r="G798" s="8">
        <v>8380</v>
      </c>
      <c r="H798" s="4">
        <f t="shared" si="504"/>
        <v>0</v>
      </c>
      <c r="I798" s="4">
        <f t="shared" si="505"/>
        <v>8380</v>
      </c>
      <c r="J798" s="4">
        <f t="shared" si="506"/>
        <v>0</v>
      </c>
      <c r="K798" s="4">
        <f t="shared" si="507"/>
        <v>0</v>
      </c>
      <c r="L798" s="4">
        <f t="shared" si="508"/>
        <v>0</v>
      </c>
      <c r="M798" s="4">
        <f t="shared" si="509"/>
        <v>0</v>
      </c>
      <c r="N798" s="4">
        <f t="shared" si="510"/>
        <v>0</v>
      </c>
      <c r="O798" s="5">
        <f t="shared" si="511"/>
        <v>40</v>
      </c>
      <c r="P798" s="6" t="str">
        <f t="shared" si="512"/>
        <v>31 TO 45 Days</v>
      </c>
      <c r="Q798" s="7">
        <v>42855</v>
      </c>
      <c r="R798" s="6" t="s">
        <v>2178</v>
      </c>
      <c r="Y798" s="1" t="str">
        <f>"4711236233"</f>
        <v>4711236233</v>
      </c>
    </row>
    <row r="799" spans="1:25" x14ac:dyDescent="0.2">
      <c r="A799" s="9" t="s">
        <v>642</v>
      </c>
      <c r="B799" s="10">
        <v>42787</v>
      </c>
      <c r="C799" s="9" t="s">
        <v>643</v>
      </c>
      <c r="D799" s="9" t="s">
        <v>30</v>
      </c>
      <c r="E799" s="9" t="s">
        <v>2190</v>
      </c>
      <c r="F799" s="9">
        <v>700000</v>
      </c>
      <c r="G799" s="8">
        <v>8382</v>
      </c>
      <c r="H799" s="4">
        <f t="shared" si="504"/>
        <v>0</v>
      </c>
      <c r="I799" s="4">
        <f t="shared" si="505"/>
        <v>0</v>
      </c>
      <c r="J799" s="4">
        <f t="shared" si="506"/>
        <v>0</v>
      </c>
      <c r="K799" s="4">
        <f t="shared" si="507"/>
        <v>8382</v>
      </c>
      <c r="L799" s="4">
        <f t="shared" si="508"/>
        <v>0</v>
      </c>
      <c r="M799" s="4">
        <f t="shared" si="509"/>
        <v>0</v>
      </c>
      <c r="N799" s="4">
        <f t="shared" si="510"/>
        <v>8382</v>
      </c>
      <c r="O799" s="5">
        <f t="shared" si="511"/>
        <v>68</v>
      </c>
      <c r="P799" s="6" t="str">
        <f t="shared" si="512"/>
        <v>61 To 90 Days</v>
      </c>
      <c r="Q799" s="7">
        <v>42855</v>
      </c>
      <c r="R799" s="6" t="s">
        <v>2178</v>
      </c>
      <c r="Y799" s="1" t="str">
        <f>"4711227354"</f>
        <v>4711227354</v>
      </c>
    </row>
    <row r="800" spans="1:25" x14ac:dyDescent="0.2">
      <c r="A800" s="9" t="s">
        <v>646</v>
      </c>
      <c r="B800" s="10">
        <v>42787</v>
      </c>
      <c r="C800" s="9" t="s">
        <v>647</v>
      </c>
      <c r="D800" s="9" t="s">
        <v>164</v>
      </c>
      <c r="E800" s="9" t="s">
        <v>2190</v>
      </c>
      <c r="F800" s="9">
        <v>0</v>
      </c>
      <c r="G800" s="8">
        <v>8382</v>
      </c>
      <c r="H800" s="4">
        <f t="shared" si="504"/>
        <v>0</v>
      </c>
      <c r="I800" s="4">
        <f t="shared" si="505"/>
        <v>0</v>
      </c>
      <c r="J800" s="4">
        <f t="shared" si="506"/>
        <v>0</v>
      </c>
      <c r="K800" s="4">
        <f t="shared" si="507"/>
        <v>8382</v>
      </c>
      <c r="L800" s="4">
        <f t="shared" si="508"/>
        <v>0</v>
      </c>
      <c r="M800" s="4">
        <f t="shared" si="509"/>
        <v>0</v>
      </c>
      <c r="N800" s="4">
        <f t="shared" si="510"/>
        <v>8382</v>
      </c>
      <c r="O800" s="5">
        <f t="shared" si="511"/>
        <v>68</v>
      </c>
      <c r="P800" s="6" t="str">
        <f t="shared" si="512"/>
        <v>61 To 90 Days</v>
      </c>
      <c r="Q800" s="7">
        <v>42855</v>
      </c>
      <c r="R800" s="6" t="s">
        <v>2178</v>
      </c>
      <c r="Y800" s="1" t="str">
        <f>"4711227367"</f>
        <v>4711227367</v>
      </c>
    </row>
    <row r="801" spans="1:25" x14ac:dyDescent="0.2">
      <c r="A801" s="9" t="s">
        <v>1250</v>
      </c>
      <c r="B801" s="10">
        <v>42817</v>
      </c>
      <c r="C801" s="9" t="s">
        <v>1251</v>
      </c>
      <c r="D801" s="9" t="s">
        <v>666</v>
      </c>
      <c r="E801" s="9" t="s">
        <v>2190</v>
      </c>
      <c r="F801" s="9">
        <v>3377500</v>
      </c>
      <c r="G801" s="8">
        <v>8386</v>
      </c>
      <c r="H801" s="4">
        <f t="shared" si="504"/>
        <v>0</v>
      </c>
      <c r="I801" s="4">
        <f t="shared" si="505"/>
        <v>8386</v>
      </c>
      <c r="J801" s="4">
        <f t="shared" si="506"/>
        <v>0</v>
      </c>
      <c r="K801" s="4">
        <f t="shared" si="507"/>
        <v>0</v>
      </c>
      <c r="L801" s="4">
        <f t="shared" si="508"/>
        <v>0</v>
      </c>
      <c r="M801" s="4">
        <f t="shared" si="509"/>
        <v>0</v>
      </c>
      <c r="N801" s="4">
        <f t="shared" si="510"/>
        <v>0</v>
      </c>
      <c r="O801" s="5">
        <f t="shared" si="511"/>
        <v>38</v>
      </c>
      <c r="P801" s="6" t="str">
        <f t="shared" si="512"/>
        <v>31 TO 45 Days</v>
      </c>
      <c r="Q801" s="7">
        <v>42855</v>
      </c>
      <c r="R801" s="6" t="s">
        <v>2178</v>
      </c>
      <c r="S801" s="1">
        <v>125.94</v>
      </c>
      <c r="T801" s="1" t="s">
        <v>31</v>
      </c>
      <c r="V801" s="1" t="s">
        <v>13</v>
      </c>
      <c r="W801" s="2">
        <v>42818</v>
      </c>
      <c r="X801" s="1" t="s">
        <v>14</v>
      </c>
      <c r="Y801" s="1" t="str">
        <f>"4912898876"</f>
        <v>4912898876</v>
      </c>
    </row>
    <row r="802" spans="1:25" x14ac:dyDescent="0.2">
      <c r="A802" s="9" t="s">
        <v>596</v>
      </c>
      <c r="B802" s="10">
        <v>42783</v>
      </c>
      <c r="C802" s="9" t="s">
        <v>597</v>
      </c>
      <c r="D802" s="9" t="s">
        <v>164</v>
      </c>
      <c r="E802" s="9" t="s">
        <v>2190</v>
      </c>
      <c r="F802" s="9">
        <v>0</v>
      </c>
      <c r="G802" s="8">
        <v>8394</v>
      </c>
      <c r="H802" s="4">
        <f t="shared" si="504"/>
        <v>0</v>
      </c>
      <c r="I802" s="4">
        <f t="shared" si="505"/>
        <v>0</v>
      </c>
      <c r="J802" s="4">
        <f t="shared" si="506"/>
        <v>0</v>
      </c>
      <c r="K802" s="4">
        <f t="shared" si="507"/>
        <v>8394</v>
      </c>
      <c r="L802" s="4">
        <f t="shared" si="508"/>
        <v>0</v>
      </c>
      <c r="M802" s="4">
        <f t="shared" si="509"/>
        <v>0</v>
      </c>
      <c r="N802" s="4">
        <f t="shared" si="510"/>
        <v>8394</v>
      </c>
      <c r="O802" s="5">
        <f t="shared" si="511"/>
        <v>72</v>
      </c>
      <c r="P802" s="6" t="str">
        <f t="shared" si="512"/>
        <v>61 To 90 Days</v>
      </c>
      <c r="Q802" s="7">
        <v>42855</v>
      </c>
      <c r="R802" s="6" t="s">
        <v>2178</v>
      </c>
      <c r="Y802" s="1" t="str">
        <f>"4711229488"</f>
        <v>4711229488</v>
      </c>
    </row>
    <row r="803" spans="1:25" x14ac:dyDescent="0.2">
      <c r="A803" s="9" t="s">
        <v>555</v>
      </c>
      <c r="B803" s="10">
        <v>42779</v>
      </c>
      <c r="C803" s="9" t="s">
        <v>556</v>
      </c>
      <c r="D803" s="9" t="s">
        <v>158</v>
      </c>
      <c r="E803" s="9" t="s">
        <v>2190</v>
      </c>
      <c r="F803" s="9">
        <v>0</v>
      </c>
      <c r="G803" s="8">
        <v>8402</v>
      </c>
      <c r="H803" s="4">
        <f t="shared" si="504"/>
        <v>0</v>
      </c>
      <c r="I803" s="4">
        <f t="shared" si="505"/>
        <v>0</v>
      </c>
      <c r="J803" s="4">
        <f t="shared" si="506"/>
        <v>0</v>
      </c>
      <c r="K803" s="4">
        <f t="shared" si="507"/>
        <v>8402</v>
      </c>
      <c r="L803" s="4">
        <f t="shared" si="508"/>
        <v>0</v>
      </c>
      <c r="M803" s="4">
        <f t="shared" si="509"/>
        <v>0</v>
      </c>
      <c r="N803" s="4">
        <f t="shared" si="510"/>
        <v>8402</v>
      </c>
      <c r="O803" s="5">
        <f t="shared" si="511"/>
        <v>76</v>
      </c>
      <c r="P803" s="6" t="str">
        <f t="shared" si="512"/>
        <v>61 To 90 Days</v>
      </c>
      <c r="Q803" s="7">
        <v>42855</v>
      </c>
      <c r="R803" s="6" t="s">
        <v>2178</v>
      </c>
      <c r="Y803" s="1" t="str">
        <f>"4930434230"</f>
        <v>4930434230</v>
      </c>
    </row>
    <row r="804" spans="1:25" x14ac:dyDescent="0.2">
      <c r="A804" s="9" t="s">
        <v>1786</v>
      </c>
      <c r="B804" s="10">
        <v>42832</v>
      </c>
      <c r="C804" s="9" t="s">
        <v>1787</v>
      </c>
      <c r="D804" s="9" t="s">
        <v>164</v>
      </c>
      <c r="E804" s="9" t="s">
        <v>2190</v>
      </c>
      <c r="F804" s="9">
        <v>0</v>
      </c>
      <c r="G804" s="8">
        <v>8406</v>
      </c>
      <c r="H804" s="4">
        <f t="shared" si="504"/>
        <v>8406</v>
      </c>
      <c r="I804" s="4">
        <f t="shared" si="505"/>
        <v>0</v>
      </c>
      <c r="J804" s="4">
        <f t="shared" si="506"/>
        <v>0</v>
      </c>
      <c r="K804" s="4">
        <f t="shared" si="507"/>
        <v>0</v>
      </c>
      <c r="L804" s="4">
        <f t="shared" si="508"/>
        <v>0</v>
      </c>
      <c r="M804" s="4">
        <f t="shared" si="509"/>
        <v>0</v>
      </c>
      <c r="N804" s="4">
        <f t="shared" si="510"/>
        <v>0</v>
      </c>
      <c r="O804" s="5">
        <f t="shared" si="511"/>
        <v>23</v>
      </c>
      <c r="P804" s="6" t="str">
        <f t="shared" si="512"/>
        <v>30 Days</v>
      </c>
      <c r="Q804" s="7">
        <v>42855</v>
      </c>
      <c r="R804" s="6" t="s">
        <v>2178</v>
      </c>
      <c r="Y804" s="1" t="str">
        <f>"4711242152"</f>
        <v>4711242152</v>
      </c>
    </row>
    <row r="805" spans="1:25" x14ac:dyDescent="0.2">
      <c r="A805" s="9" t="s">
        <v>2001</v>
      </c>
      <c r="B805" s="10">
        <v>42836</v>
      </c>
      <c r="C805" s="9" t="s">
        <v>2002</v>
      </c>
      <c r="D805" s="9" t="s">
        <v>2000</v>
      </c>
      <c r="E805" s="9" t="s">
        <v>2190</v>
      </c>
      <c r="F805" s="9">
        <v>0</v>
      </c>
      <c r="G805" s="8">
        <v>8410</v>
      </c>
      <c r="H805" s="4">
        <f t="shared" si="504"/>
        <v>8410</v>
      </c>
      <c r="I805" s="4">
        <f t="shared" si="505"/>
        <v>0</v>
      </c>
      <c r="J805" s="4">
        <f t="shared" si="506"/>
        <v>0</v>
      </c>
      <c r="K805" s="4">
        <f t="shared" si="507"/>
        <v>0</v>
      </c>
      <c r="L805" s="4">
        <f t="shared" si="508"/>
        <v>0</v>
      </c>
      <c r="M805" s="4">
        <f t="shared" si="509"/>
        <v>0</v>
      </c>
      <c r="N805" s="4">
        <f t="shared" si="510"/>
        <v>0</v>
      </c>
      <c r="O805" s="5">
        <f t="shared" si="511"/>
        <v>19</v>
      </c>
      <c r="P805" s="6" t="str">
        <f t="shared" si="512"/>
        <v>30 Days</v>
      </c>
      <c r="Q805" s="7">
        <v>42855</v>
      </c>
      <c r="R805" s="6" t="str">
        <f>VLOOKUP(A805:A5449,[1]BOM_INV_OPERATOR_DETAILS_OUTPUT!$A$2:$D$1233,4,FALSE)</f>
        <v>AI</v>
      </c>
      <c r="Y805" s="1" t="str">
        <f>"4320103748"</f>
        <v>4320103748</v>
      </c>
    </row>
    <row r="806" spans="1:25" x14ac:dyDescent="0.2">
      <c r="A806" s="9" t="s">
        <v>1225</v>
      </c>
      <c r="B806" s="10">
        <v>42816</v>
      </c>
      <c r="C806" s="9" t="s">
        <v>1226</v>
      </c>
      <c r="D806" s="9" t="s">
        <v>164</v>
      </c>
      <c r="E806" s="9" t="s">
        <v>2190</v>
      </c>
      <c r="F806" s="9">
        <v>0</v>
      </c>
      <c r="G806" s="8">
        <v>8417</v>
      </c>
      <c r="H806" s="4">
        <f t="shared" si="504"/>
        <v>0</v>
      </c>
      <c r="I806" s="4">
        <f t="shared" si="505"/>
        <v>8417</v>
      </c>
      <c r="J806" s="4">
        <f t="shared" si="506"/>
        <v>0</v>
      </c>
      <c r="K806" s="4">
        <f t="shared" si="507"/>
        <v>0</v>
      </c>
      <c r="L806" s="4">
        <f t="shared" si="508"/>
        <v>0</v>
      </c>
      <c r="M806" s="4">
        <f t="shared" si="509"/>
        <v>0</v>
      </c>
      <c r="N806" s="4">
        <f t="shared" si="510"/>
        <v>0</v>
      </c>
      <c r="O806" s="5">
        <f t="shared" si="511"/>
        <v>39</v>
      </c>
      <c r="P806" s="6" t="str">
        <f t="shared" si="512"/>
        <v>31 TO 45 Days</v>
      </c>
      <c r="Q806" s="7">
        <v>42855</v>
      </c>
      <c r="R806" s="6" t="s">
        <v>2178</v>
      </c>
      <c r="Y806" s="1" t="str">
        <f>"4711238341"</f>
        <v>4711238341</v>
      </c>
    </row>
    <row r="807" spans="1:25" x14ac:dyDescent="0.2">
      <c r="A807" s="9" t="s">
        <v>347</v>
      </c>
      <c r="B807" s="10">
        <v>42753</v>
      </c>
      <c r="C807" s="9" t="s">
        <v>348</v>
      </c>
      <c r="D807" s="9" t="s">
        <v>161</v>
      </c>
      <c r="E807" s="9" t="s">
        <v>2190</v>
      </c>
      <c r="F807" s="9">
        <v>0</v>
      </c>
      <c r="G807" s="8">
        <v>8419</v>
      </c>
      <c r="H807" s="4">
        <f t="shared" si="504"/>
        <v>0</v>
      </c>
      <c r="I807" s="4">
        <f t="shared" si="505"/>
        <v>0</v>
      </c>
      <c r="J807" s="4">
        <f t="shared" si="506"/>
        <v>0</v>
      </c>
      <c r="K807" s="4">
        <f t="shared" si="507"/>
        <v>0</v>
      </c>
      <c r="L807" s="4">
        <f t="shared" si="508"/>
        <v>8419</v>
      </c>
      <c r="M807" s="4">
        <f t="shared" si="509"/>
        <v>0</v>
      </c>
      <c r="N807" s="4">
        <f t="shared" si="510"/>
        <v>8419</v>
      </c>
      <c r="O807" s="5">
        <f t="shared" si="511"/>
        <v>102</v>
      </c>
      <c r="P807" s="6" t="str">
        <f t="shared" si="512"/>
        <v>91 To 120 Days</v>
      </c>
      <c r="Q807" s="7">
        <v>42855</v>
      </c>
      <c r="R807" s="6" t="s">
        <v>2178</v>
      </c>
      <c r="Y807" s="1" t="str">
        <f>"4711221887"</f>
        <v>4711221887</v>
      </c>
    </row>
    <row r="808" spans="1:25" x14ac:dyDescent="0.2">
      <c r="A808" s="9" t="s">
        <v>1188</v>
      </c>
      <c r="B808" s="10">
        <v>42815</v>
      </c>
      <c r="C808" s="9" t="s">
        <v>1189</v>
      </c>
      <c r="D808" s="9" t="s">
        <v>164</v>
      </c>
      <c r="E808" s="9" t="s">
        <v>2190</v>
      </c>
      <c r="F808" s="9">
        <v>0</v>
      </c>
      <c r="G808" s="8">
        <v>8422</v>
      </c>
      <c r="H808" s="4">
        <f t="shared" si="504"/>
        <v>0</v>
      </c>
      <c r="I808" s="4">
        <f t="shared" si="505"/>
        <v>8422</v>
      </c>
      <c r="J808" s="4">
        <f t="shared" si="506"/>
        <v>0</v>
      </c>
      <c r="K808" s="4">
        <f t="shared" si="507"/>
        <v>0</v>
      </c>
      <c r="L808" s="4">
        <f t="shared" si="508"/>
        <v>0</v>
      </c>
      <c r="M808" s="4">
        <f t="shared" si="509"/>
        <v>0</v>
      </c>
      <c r="N808" s="4">
        <f t="shared" si="510"/>
        <v>0</v>
      </c>
      <c r="O808" s="5">
        <f t="shared" si="511"/>
        <v>40</v>
      </c>
      <c r="P808" s="6" t="str">
        <f t="shared" si="512"/>
        <v>31 TO 45 Days</v>
      </c>
      <c r="Q808" s="7">
        <v>42855</v>
      </c>
      <c r="R808" s="6" t="s">
        <v>2178</v>
      </c>
      <c r="Y808" s="1" t="str">
        <f>"4711237360"</f>
        <v>4711237360</v>
      </c>
    </row>
    <row r="809" spans="1:25" x14ac:dyDescent="0.2">
      <c r="A809" s="9" t="s">
        <v>1349</v>
      </c>
      <c r="B809" s="10">
        <v>42821</v>
      </c>
      <c r="C809" s="9" t="s">
        <v>1350</v>
      </c>
      <c r="D809" s="9" t="s">
        <v>158</v>
      </c>
      <c r="E809" s="9" t="s">
        <v>2190</v>
      </c>
      <c r="F809" s="9">
        <v>0</v>
      </c>
      <c r="G809" s="8">
        <v>8470</v>
      </c>
      <c r="H809" s="4">
        <f t="shared" ref="H809:H831" si="513">IF(O809&lt;=30,G809,0)</f>
        <v>0</v>
      </c>
      <c r="I809" s="4">
        <f t="shared" ref="I809:I831" si="514">IF(AND(O809&gt;30,O809&lt;=45),G809,0)</f>
        <v>8470</v>
      </c>
      <c r="J809" s="4">
        <f t="shared" ref="J809:J831" si="515">IF(AND(O809&gt;45,O809&lt;=60),G809,0)</f>
        <v>0</v>
      </c>
      <c r="K809" s="4">
        <f t="shared" ref="K809:K831" si="516">IF(AND(O809&gt;60,O809&lt;=90),G809,0)</f>
        <v>0</v>
      </c>
      <c r="L809" s="4">
        <f t="shared" ref="L809:L831" si="517">IF(AND(O809&gt;90,O809&lt;=120),G809,0)</f>
        <v>0</v>
      </c>
      <c r="M809" s="4">
        <f t="shared" ref="M809:M831" si="518">IF(O809&gt;120,G809,0)</f>
        <v>0</v>
      </c>
      <c r="N809" s="4">
        <f t="shared" ref="N809:N831" si="519">IF(O809&gt;60,G809,0)</f>
        <v>0</v>
      </c>
      <c r="O809" s="5">
        <f t="shared" ref="O809:O831" si="520">Q809-B809</f>
        <v>34</v>
      </c>
      <c r="P809" s="6" t="str">
        <f t="shared" ref="P809:P831" si="521">IF(AND(O809&lt;=30),"30 Days",IF(AND(O809&gt;30,O809&lt;=45),"31 TO 45 Days",IF(AND(O809&gt;45,O809&lt;=60),"46 To 60 Days",IF(AND(O809&gt;60,O809&lt;=90),"61 To 90 Days",IF(AND(O809&gt;90,O809&lt;=120),"91 To 120 Days",IF(AND(O809&gt;120),"Plus120Days",))))))</f>
        <v>31 TO 45 Days</v>
      </c>
      <c r="Q809" s="7">
        <v>42855</v>
      </c>
      <c r="R809" s="6" t="s">
        <v>2178</v>
      </c>
      <c r="Y809" s="1" t="str">
        <f>"4940188937"</f>
        <v>4940188937</v>
      </c>
    </row>
    <row r="810" spans="1:25" x14ac:dyDescent="0.2">
      <c r="A810" s="9" t="s">
        <v>1531</v>
      </c>
      <c r="B810" s="10">
        <v>42825</v>
      </c>
      <c r="C810" s="9" t="s">
        <v>1532</v>
      </c>
      <c r="D810" s="9" t="s">
        <v>140</v>
      </c>
      <c r="E810" s="9" t="s">
        <v>2190</v>
      </c>
      <c r="F810" s="9">
        <v>0</v>
      </c>
      <c r="G810" s="8">
        <v>8472</v>
      </c>
      <c r="H810" s="4">
        <f t="shared" si="513"/>
        <v>8472</v>
      </c>
      <c r="I810" s="4">
        <f t="shared" si="514"/>
        <v>0</v>
      </c>
      <c r="J810" s="4">
        <f t="shared" si="515"/>
        <v>0</v>
      </c>
      <c r="K810" s="4">
        <f t="shared" si="516"/>
        <v>0</v>
      </c>
      <c r="L810" s="4">
        <f t="shared" si="517"/>
        <v>0</v>
      </c>
      <c r="M810" s="4">
        <f t="shared" si="518"/>
        <v>0</v>
      </c>
      <c r="N810" s="4">
        <f t="shared" si="519"/>
        <v>0</v>
      </c>
      <c r="O810" s="5">
        <f t="shared" si="520"/>
        <v>30</v>
      </c>
      <c r="P810" s="6" t="str">
        <f t="shared" si="521"/>
        <v>30 Days</v>
      </c>
      <c r="Q810" s="7">
        <v>42855</v>
      </c>
      <c r="R810" s="6" t="s">
        <v>2178</v>
      </c>
      <c r="Y810" s="1" t="str">
        <f>"4395871755"</f>
        <v>4395871755</v>
      </c>
    </row>
    <row r="811" spans="1:25" x14ac:dyDescent="0.2">
      <c r="A811" s="9" t="s">
        <v>1061</v>
      </c>
      <c r="B811" s="10">
        <v>42812</v>
      </c>
      <c r="C811" s="9" t="s">
        <v>1062</v>
      </c>
      <c r="D811" s="9" t="s">
        <v>152</v>
      </c>
      <c r="E811" s="9" t="s">
        <v>2190</v>
      </c>
      <c r="F811" s="9">
        <v>300000</v>
      </c>
      <c r="G811" s="8">
        <v>8475</v>
      </c>
      <c r="H811" s="4">
        <f t="shared" si="513"/>
        <v>0</v>
      </c>
      <c r="I811" s="4">
        <f t="shared" si="514"/>
        <v>8475</v>
      </c>
      <c r="J811" s="4">
        <f t="shared" si="515"/>
        <v>0</v>
      </c>
      <c r="K811" s="4">
        <f t="shared" si="516"/>
        <v>0</v>
      </c>
      <c r="L811" s="4">
        <f t="shared" si="517"/>
        <v>0</v>
      </c>
      <c r="M811" s="4">
        <f t="shared" si="518"/>
        <v>0</v>
      </c>
      <c r="N811" s="4">
        <f t="shared" si="519"/>
        <v>0</v>
      </c>
      <c r="O811" s="5">
        <f t="shared" si="520"/>
        <v>43</v>
      </c>
      <c r="P811" s="6" t="str">
        <f t="shared" si="521"/>
        <v>31 TO 45 Days</v>
      </c>
      <c r="Q811" s="7">
        <v>42855</v>
      </c>
      <c r="R811" s="6" t="s">
        <v>2178</v>
      </c>
      <c r="Y811" s="1" t="str">
        <f>"4540130939"</f>
        <v>4540130939</v>
      </c>
    </row>
    <row r="812" spans="1:25" x14ac:dyDescent="0.2">
      <c r="A812" s="9" t="s">
        <v>196</v>
      </c>
      <c r="B812" s="10">
        <v>42728</v>
      </c>
      <c r="C812" s="9" t="s">
        <v>197</v>
      </c>
      <c r="D812" s="9" t="s">
        <v>133</v>
      </c>
      <c r="E812" s="9" t="s">
        <v>2190</v>
      </c>
      <c r="F812" s="9">
        <v>20000000</v>
      </c>
      <c r="G812" s="8">
        <v>8479</v>
      </c>
      <c r="H812" s="4">
        <f t="shared" si="513"/>
        <v>0</v>
      </c>
      <c r="I812" s="4">
        <f t="shared" si="514"/>
        <v>0</v>
      </c>
      <c r="J812" s="4">
        <f t="shared" si="515"/>
        <v>0</v>
      </c>
      <c r="K812" s="4">
        <f t="shared" si="516"/>
        <v>0</v>
      </c>
      <c r="L812" s="4">
        <f t="shared" si="517"/>
        <v>0</v>
      </c>
      <c r="M812" s="4">
        <f t="shared" si="518"/>
        <v>8479</v>
      </c>
      <c r="N812" s="4">
        <f t="shared" si="519"/>
        <v>8479</v>
      </c>
      <c r="O812" s="5">
        <f t="shared" si="520"/>
        <v>127</v>
      </c>
      <c r="P812" s="6" t="str">
        <f t="shared" si="521"/>
        <v>Plus120Days</v>
      </c>
      <c r="Q812" s="7">
        <v>42855</v>
      </c>
      <c r="R812" s="6" t="s">
        <v>2178</v>
      </c>
      <c r="V812" s="1" t="s">
        <v>13</v>
      </c>
      <c r="Y812" s="1" t="str">
        <f>"423608964"</f>
        <v>423608964</v>
      </c>
    </row>
    <row r="813" spans="1:25" x14ac:dyDescent="0.2">
      <c r="A813" s="9" t="s">
        <v>804</v>
      </c>
      <c r="B813" s="10">
        <v>42794</v>
      </c>
      <c r="C813" s="9" t="s">
        <v>805</v>
      </c>
      <c r="D813" s="9" t="s">
        <v>164</v>
      </c>
      <c r="E813" s="9" t="s">
        <v>2190</v>
      </c>
      <c r="F813" s="9">
        <v>0</v>
      </c>
      <c r="G813" s="8">
        <v>8486</v>
      </c>
      <c r="H813" s="4">
        <f t="shared" si="513"/>
        <v>0</v>
      </c>
      <c r="I813" s="4">
        <f t="shared" si="514"/>
        <v>0</v>
      </c>
      <c r="J813" s="4">
        <f t="shared" si="515"/>
        <v>0</v>
      </c>
      <c r="K813" s="4">
        <f t="shared" si="516"/>
        <v>8486</v>
      </c>
      <c r="L813" s="4">
        <f t="shared" si="517"/>
        <v>0</v>
      </c>
      <c r="M813" s="4">
        <f t="shared" si="518"/>
        <v>0</v>
      </c>
      <c r="N813" s="4">
        <f t="shared" si="519"/>
        <v>8486</v>
      </c>
      <c r="O813" s="5">
        <f t="shared" si="520"/>
        <v>61</v>
      </c>
      <c r="P813" s="6" t="str">
        <f t="shared" si="521"/>
        <v>61 To 90 Days</v>
      </c>
      <c r="Q813" s="7">
        <v>42855</v>
      </c>
      <c r="R813" s="6" t="s">
        <v>2178</v>
      </c>
      <c r="Y813" s="1" t="str">
        <f>"4711231963"</f>
        <v>4711231963</v>
      </c>
    </row>
    <row r="814" spans="1:25" x14ac:dyDescent="0.2">
      <c r="A814" s="9" t="s">
        <v>1600</v>
      </c>
      <c r="B814" s="10">
        <v>42826</v>
      </c>
      <c r="C814" s="9" t="s">
        <v>1601</v>
      </c>
      <c r="D814" s="9" t="s">
        <v>164</v>
      </c>
      <c r="E814" s="9" t="s">
        <v>2190</v>
      </c>
      <c r="F814" s="9">
        <v>0</v>
      </c>
      <c r="G814" s="8">
        <v>8494</v>
      </c>
      <c r="H814" s="4">
        <f t="shared" si="513"/>
        <v>8494</v>
      </c>
      <c r="I814" s="4">
        <f t="shared" si="514"/>
        <v>0</v>
      </c>
      <c r="J814" s="4">
        <f t="shared" si="515"/>
        <v>0</v>
      </c>
      <c r="K814" s="4">
        <f t="shared" si="516"/>
        <v>0</v>
      </c>
      <c r="L814" s="4">
        <f t="shared" si="517"/>
        <v>0</v>
      </c>
      <c r="M814" s="4">
        <f t="shared" si="518"/>
        <v>0</v>
      </c>
      <c r="N814" s="4">
        <f t="shared" si="519"/>
        <v>0</v>
      </c>
      <c r="O814" s="5">
        <f t="shared" si="520"/>
        <v>29</v>
      </c>
      <c r="P814" s="6" t="str">
        <f t="shared" si="521"/>
        <v>30 Days</v>
      </c>
      <c r="Q814" s="7">
        <v>42855</v>
      </c>
      <c r="R814" s="6" t="s">
        <v>2178</v>
      </c>
      <c r="Y814" s="1" t="str">
        <f>"4711240565"</f>
        <v>4711240565</v>
      </c>
    </row>
    <row r="815" spans="1:25" x14ac:dyDescent="0.2">
      <c r="A815" s="9" t="s">
        <v>284</v>
      </c>
      <c r="B815" s="10">
        <v>42745</v>
      </c>
      <c r="C815" s="9" t="s">
        <v>285</v>
      </c>
      <c r="D815" s="9" t="s">
        <v>30</v>
      </c>
      <c r="E815" s="9" t="s">
        <v>2190</v>
      </c>
      <c r="F815" s="9">
        <v>700000</v>
      </c>
      <c r="G815" s="8">
        <v>8495</v>
      </c>
      <c r="H815" s="4">
        <f t="shared" si="513"/>
        <v>0</v>
      </c>
      <c r="I815" s="4">
        <f t="shared" si="514"/>
        <v>0</v>
      </c>
      <c r="J815" s="4">
        <f t="shared" si="515"/>
        <v>0</v>
      </c>
      <c r="K815" s="4">
        <f t="shared" si="516"/>
        <v>0</v>
      </c>
      <c r="L815" s="4">
        <f t="shared" si="517"/>
        <v>8495</v>
      </c>
      <c r="M815" s="4">
        <f t="shared" si="518"/>
        <v>0</v>
      </c>
      <c r="N815" s="4">
        <f t="shared" si="519"/>
        <v>8495</v>
      </c>
      <c r="O815" s="5">
        <f t="shared" si="520"/>
        <v>110</v>
      </c>
      <c r="P815" s="6" t="str">
        <f t="shared" si="521"/>
        <v>91 To 120 Days</v>
      </c>
      <c r="Q815" s="7">
        <v>42855</v>
      </c>
      <c r="R815" s="6" t="s">
        <v>2178</v>
      </c>
      <c r="Y815" s="1" t="str">
        <f>"4600155411"</f>
        <v>4600155411</v>
      </c>
    </row>
    <row r="816" spans="1:25" x14ac:dyDescent="0.2">
      <c r="A816" s="9" t="s">
        <v>359</v>
      </c>
      <c r="B816" s="10">
        <v>42755</v>
      </c>
      <c r="C816" s="9" t="s">
        <v>360</v>
      </c>
      <c r="D816" s="9" t="s">
        <v>157</v>
      </c>
      <c r="E816" s="9" t="s">
        <v>2190</v>
      </c>
      <c r="F816" s="9">
        <v>200000</v>
      </c>
      <c r="G816" s="8">
        <v>8502</v>
      </c>
      <c r="H816" s="4">
        <f t="shared" si="513"/>
        <v>0</v>
      </c>
      <c r="I816" s="4">
        <f t="shared" si="514"/>
        <v>0</v>
      </c>
      <c r="J816" s="4">
        <f t="shared" si="515"/>
        <v>0</v>
      </c>
      <c r="K816" s="4">
        <f t="shared" si="516"/>
        <v>0</v>
      </c>
      <c r="L816" s="4">
        <f t="shared" si="517"/>
        <v>8502</v>
      </c>
      <c r="M816" s="4">
        <f t="shared" si="518"/>
        <v>0</v>
      </c>
      <c r="N816" s="4">
        <f t="shared" si="519"/>
        <v>8502</v>
      </c>
      <c r="O816" s="5">
        <f t="shared" si="520"/>
        <v>100</v>
      </c>
      <c r="P816" s="6" t="str">
        <f t="shared" si="521"/>
        <v>91 To 120 Days</v>
      </c>
      <c r="Q816" s="7">
        <v>42855</v>
      </c>
      <c r="R816" s="6" t="s">
        <v>2178</v>
      </c>
      <c r="Y816" s="1" t="str">
        <f>"4600155747"</f>
        <v>4600155747</v>
      </c>
    </row>
    <row r="817" spans="1:25" x14ac:dyDescent="0.2">
      <c r="A817" s="9" t="s">
        <v>611</v>
      </c>
      <c r="B817" s="10">
        <v>42784</v>
      </c>
      <c r="C817" s="9" t="s">
        <v>612</v>
      </c>
      <c r="D817" s="9" t="s">
        <v>20</v>
      </c>
      <c r="E817" s="9" t="s">
        <v>2190</v>
      </c>
      <c r="F817" s="9">
        <v>1000000</v>
      </c>
      <c r="G817" s="8">
        <v>8516</v>
      </c>
      <c r="H817" s="4">
        <f t="shared" si="513"/>
        <v>0</v>
      </c>
      <c r="I817" s="4">
        <f t="shared" si="514"/>
        <v>0</v>
      </c>
      <c r="J817" s="4">
        <f t="shared" si="515"/>
        <v>0</v>
      </c>
      <c r="K817" s="4">
        <f t="shared" si="516"/>
        <v>8516</v>
      </c>
      <c r="L817" s="4">
        <f t="shared" si="517"/>
        <v>0</v>
      </c>
      <c r="M817" s="4">
        <f t="shared" si="518"/>
        <v>0</v>
      </c>
      <c r="N817" s="4">
        <f t="shared" si="519"/>
        <v>8516</v>
      </c>
      <c r="O817" s="5">
        <f t="shared" si="520"/>
        <v>71</v>
      </c>
      <c r="P817" s="6" t="str">
        <f t="shared" si="521"/>
        <v>61 To 90 Days</v>
      </c>
      <c r="Q817" s="7">
        <v>42855</v>
      </c>
      <c r="R817" s="6" t="s">
        <v>2178</v>
      </c>
      <c r="Y817" s="1" t="str">
        <f>"4912875510"</f>
        <v>4912875510</v>
      </c>
    </row>
    <row r="818" spans="1:25" x14ac:dyDescent="0.2">
      <c r="A818" s="9" t="s">
        <v>1146</v>
      </c>
      <c r="B818" s="10">
        <v>42814</v>
      </c>
      <c r="C818" s="9" t="s">
        <v>1147</v>
      </c>
      <c r="D818" s="9" t="s">
        <v>666</v>
      </c>
      <c r="E818" s="9" t="s">
        <v>2190</v>
      </c>
      <c r="F818" s="9">
        <v>3377500</v>
      </c>
      <c r="G818" s="8">
        <v>8528</v>
      </c>
      <c r="H818" s="4">
        <f t="shared" si="513"/>
        <v>0</v>
      </c>
      <c r="I818" s="4">
        <f t="shared" si="514"/>
        <v>8528</v>
      </c>
      <c r="J818" s="4">
        <f t="shared" si="515"/>
        <v>0</v>
      </c>
      <c r="K818" s="4">
        <f t="shared" si="516"/>
        <v>0</v>
      </c>
      <c r="L818" s="4">
        <f t="shared" si="517"/>
        <v>0</v>
      </c>
      <c r="M818" s="4">
        <f t="shared" si="518"/>
        <v>0</v>
      </c>
      <c r="N818" s="4">
        <f t="shared" si="519"/>
        <v>0</v>
      </c>
      <c r="O818" s="5">
        <f t="shared" si="520"/>
        <v>41</v>
      </c>
      <c r="P818" s="6" t="str">
        <f t="shared" si="521"/>
        <v>31 TO 45 Days</v>
      </c>
      <c r="Q818" s="7">
        <v>42855</v>
      </c>
      <c r="R818" s="6" t="s">
        <v>2178</v>
      </c>
      <c r="S818" s="1">
        <v>128.01</v>
      </c>
      <c r="T818" s="1" t="s">
        <v>31</v>
      </c>
      <c r="V818" s="1" t="s">
        <v>13</v>
      </c>
      <c r="W818" s="2">
        <v>42814</v>
      </c>
      <c r="X818" s="1" t="s">
        <v>14</v>
      </c>
      <c r="Y818" s="1" t="str">
        <f>"4912896885"</f>
        <v>4912896885</v>
      </c>
    </row>
    <row r="819" spans="1:25" x14ac:dyDescent="0.2">
      <c r="A819" s="9" t="s">
        <v>1679</v>
      </c>
      <c r="B819" s="10">
        <v>42829</v>
      </c>
      <c r="C819" s="9" t="s">
        <v>1680</v>
      </c>
      <c r="D819" s="9" t="s">
        <v>666</v>
      </c>
      <c r="E819" s="9" t="s">
        <v>2190</v>
      </c>
      <c r="F819" s="9">
        <v>3377500</v>
      </c>
      <c r="G819" s="8">
        <v>8529</v>
      </c>
      <c r="H819" s="4">
        <f t="shared" si="513"/>
        <v>8529</v>
      </c>
      <c r="I819" s="4">
        <f t="shared" si="514"/>
        <v>0</v>
      </c>
      <c r="J819" s="4">
        <f t="shared" si="515"/>
        <v>0</v>
      </c>
      <c r="K819" s="4">
        <f t="shared" si="516"/>
        <v>0</v>
      </c>
      <c r="L819" s="4">
        <f t="shared" si="517"/>
        <v>0</v>
      </c>
      <c r="M819" s="4">
        <f t="shared" si="518"/>
        <v>0</v>
      </c>
      <c r="N819" s="4">
        <f t="shared" si="519"/>
        <v>0</v>
      </c>
      <c r="O819" s="5">
        <f t="shared" si="520"/>
        <v>26</v>
      </c>
      <c r="P819" s="6" t="str">
        <f t="shared" si="521"/>
        <v>30 Days</v>
      </c>
      <c r="Q819" s="7">
        <v>42855</v>
      </c>
      <c r="R819" s="6" t="s">
        <v>2178</v>
      </c>
      <c r="S819" s="1">
        <v>129.32</v>
      </c>
      <c r="T819" s="1" t="s">
        <v>31</v>
      </c>
      <c r="V819" s="1" t="s">
        <v>13</v>
      </c>
      <c r="W819" s="2">
        <v>42830</v>
      </c>
      <c r="X819" s="1" t="s">
        <v>14</v>
      </c>
      <c r="Y819" s="1" t="str">
        <f>"4912910849"</f>
        <v>4912910849</v>
      </c>
    </row>
    <row r="820" spans="1:25" x14ac:dyDescent="0.2">
      <c r="A820" s="9" t="s">
        <v>943</v>
      </c>
      <c r="B820" s="10">
        <v>42802</v>
      </c>
      <c r="C820" s="9" t="s">
        <v>944</v>
      </c>
      <c r="D820" s="9" t="s">
        <v>133</v>
      </c>
      <c r="E820" s="9" t="s">
        <v>2190</v>
      </c>
      <c r="F820" s="9">
        <v>20000000</v>
      </c>
      <c r="G820" s="8">
        <v>8534</v>
      </c>
      <c r="H820" s="4">
        <f t="shared" si="513"/>
        <v>0</v>
      </c>
      <c r="I820" s="4">
        <f t="shared" si="514"/>
        <v>0</v>
      </c>
      <c r="J820" s="4">
        <f t="shared" si="515"/>
        <v>8534</v>
      </c>
      <c r="K820" s="4">
        <f t="shared" si="516"/>
        <v>0</v>
      </c>
      <c r="L820" s="4">
        <f t="shared" si="517"/>
        <v>0</v>
      </c>
      <c r="M820" s="4">
        <f t="shared" si="518"/>
        <v>0</v>
      </c>
      <c r="N820" s="4">
        <f t="shared" si="519"/>
        <v>0</v>
      </c>
      <c r="O820" s="5">
        <f t="shared" si="520"/>
        <v>53</v>
      </c>
      <c r="P820" s="6" t="str">
        <f t="shared" si="521"/>
        <v>46 To 60 Days</v>
      </c>
      <c r="Q820" s="7">
        <v>42855</v>
      </c>
      <c r="R820" s="6" t="s">
        <v>2178</v>
      </c>
      <c r="V820" s="1" t="s">
        <v>13</v>
      </c>
      <c r="W820" s="2">
        <v>42802</v>
      </c>
      <c r="X820" s="1" t="s">
        <v>14</v>
      </c>
      <c r="Y820" s="1" t="str">
        <f>"4060584884"</f>
        <v>4060584884</v>
      </c>
    </row>
    <row r="821" spans="1:25" x14ac:dyDescent="0.2">
      <c r="A821" s="9" t="s">
        <v>504</v>
      </c>
      <c r="B821" s="10">
        <v>42774</v>
      </c>
      <c r="C821" s="9" t="s">
        <v>505</v>
      </c>
      <c r="D821" s="9" t="s">
        <v>148</v>
      </c>
      <c r="E821" s="9" t="s">
        <v>2190</v>
      </c>
      <c r="F821" s="9">
        <v>500000</v>
      </c>
      <c r="G821" s="8">
        <v>8544</v>
      </c>
      <c r="H821" s="4">
        <f t="shared" si="513"/>
        <v>0</v>
      </c>
      <c r="I821" s="4">
        <f t="shared" si="514"/>
        <v>0</v>
      </c>
      <c r="J821" s="4">
        <f t="shared" si="515"/>
        <v>0</v>
      </c>
      <c r="K821" s="4">
        <f t="shared" si="516"/>
        <v>8544</v>
      </c>
      <c r="L821" s="4">
        <f t="shared" si="517"/>
        <v>0</v>
      </c>
      <c r="M821" s="4">
        <f t="shared" si="518"/>
        <v>0</v>
      </c>
      <c r="N821" s="4">
        <f t="shared" si="519"/>
        <v>8544</v>
      </c>
      <c r="O821" s="5">
        <f t="shared" si="520"/>
        <v>81</v>
      </c>
      <c r="P821" s="6" t="str">
        <f t="shared" si="521"/>
        <v>61 To 90 Days</v>
      </c>
      <c r="Q821" s="7">
        <v>42855</v>
      </c>
      <c r="R821" s="6" t="s">
        <v>2178</v>
      </c>
      <c r="Y821" s="1" t="str">
        <f>"4540129929"</f>
        <v>4540129929</v>
      </c>
    </row>
    <row r="822" spans="1:25" x14ac:dyDescent="0.2">
      <c r="A822" s="9" t="s">
        <v>648</v>
      </c>
      <c r="B822" s="10">
        <v>42787</v>
      </c>
      <c r="C822" s="9" t="s">
        <v>649</v>
      </c>
      <c r="D822" s="9" t="s">
        <v>164</v>
      </c>
      <c r="E822" s="9" t="s">
        <v>2190</v>
      </c>
      <c r="F822" s="9">
        <v>0</v>
      </c>
      <c r="G822" s="8">
        <v>8558</v>
      </c>
      <c r="H822" s="4">
        <f t="shared" si="513"/>
        <v>0</v>
      </c>
      <c r="I822" s="4">
        <f t="shared" si="514"/>
        <v>0</v>
      </c>
      <c r="J822" s="4">
        <f t="shared" si="515"/>
        <v>0</v>
      </c>
      <c r="K822" s="4">
        <f t="shared" si="516"/>
        <v>8558</v>
      </c>
      <c r="L822" s="4">
        <f t="shared" si="517"/>
        <v>0</v>
      </c>
      <c r="M822" s="4">
        <f t="shared" si="518"/>
        <v>0</v>
      </c>
      <c r="N822" s="4">
        <f t="shared" si="519"/>
        <v>8558</v>
      </c>
      <c r="O822" s="5">
        <f t="shared" si="520"/>
        <v>68</v>
      </c>
      <c r="P822" s="6" t="str">
        <f t="shared" si="521"/>
        <v>61 To 90 Days</v>
      </c>
      <c r="Q822" s="7">
        <v>42855</v>
      </c>
      <c r="R822" s="6" t="s">
        <v>2178</v>
      </c>
      <c r="Y822" s="1" t="str">
        <f>"4711228486"</f>
        <v>4711228486</v>
      </c>
    </row>
    <row r="823" spans="1:25" x14ac:dyDescent="0.2">
      <c r="A823" s="9" t="s">
        <v>1376</v>
      </c>
      <c r="B823" s="10">
        <v>42822</v>
      </c>
      <c r="C823" s="9" t="s">
        <v>1377</v>
      </c>
      <c r="D823" s="9" t="s">
        <v>270</v>
      </c>
      <c r="E823" s="9" t="s">
        <v>2190</v>
      </c>
      <c r="F823" s="9">
        <v>0</v>
      </c>
      <c r="G823" s="8">
        <v>8562</v>
      </c>
      <c r="H823" s="4">
        <f t="shared" si="513"/>
        <v>0</v>
      </c>
      <c r="I823" s="4">
        <f t="shared" si="514"/>
        <v>8562</v>
      </c>
      <c r="J823" s="4">
        <f t="shared" si="515"/>
        <v>0</v>
      </c>
      <c r="K823" s="4">
        <f t="shared" si="516"/>
        <v>0</v>
      </c>
      <c r="L823" s="4">
        <f t="shared" si="517"/>
        <v>0</v>
      </c>
      <c r="M823" s="4">
        <f t="shared" si="518"/>
        <v>0</v>
      </c>
      <c r="N823" s="4">
        <f t="shared" si="519"/>
        <v>0</v>
      </c>
      <c r="O823" s="5">
        <f t="shared" si="520"/>
        <v>33</v>
      </c>
      <c r="P823" s="6" t="str">
        <f t="shared" si="521"/>
        <v>31 TO 45 Days</v>
      </c>
      <c r="Q823" s="7">
        <v>42855</v>
      </c>
      <c r="R823" s="6" t="s">
        <v>2178</v>
      </c>
      <c r="Y823" s="1" t="str">
        <f>"416564460"</f>
        <v>416564460</v>
      </c>
    </row>
    <row r="824" spans="1:25" x14ac:dyDescent="0.2">
      <c r="A824" s="9" t="s">
        <v>945</v>
      </c>
      <c r="B824" s="10">
        <v>42802</v>
      </c>
      <c r="C824" s="9" t="s">
        <v>946</v>
      </c>
      <c r="D824" s="9" t="s">
        <v>133</v>
      </c>
      <c r="E824" s="9" t="s">
        <v>2190</v>
      </c>
      <c r="F824" s="9">
        <v>20000000</v>
      </c>
      <c r="G824" s="8">
        <v>8572</v>
      </c>
      <c r="H824" s="4">
        <f t="shared" si="513"/>
        <v>0</v>
      </c>
      <c r="I824" s="4">
        <f t="shared" si="514"/>
        <v>0</v>
      </c>
      <c r="J824" s="4">
        <f t="shared" si="515"/>
        <v>8572</v>
      </c>
      <c r="K824" s="4">
        <f t="shared" si="516"/>
        <v>0</v>
      </c>
      <c r="L824" s="4">
        <f t="shared" si="517"/>
        <v>0</v>
      </c>
      <c r="M824" s="4">
        <f t="shared" si="518"/>
        <v>0</v>
      </c>
      <c r="N824" s="4">
        <f t="shared" si="519"/>
        <v>0</v>
      </c>
      <c r="O824" s="5">
        <f t="shared" si="520"/>
        <v>53</v>
      </c>
      <c r="P824" s="6" t="str">
        <f t="shared" si="521"/>
        <v>46 To 60 Days</v>
      </c>
      <c r="Q824" s="7">
        <v>42855</v>
      </c>
      <c r="R824" s="6" t="s">
        <v>2178</v>
      </c>
      <c r="V824" s="1" t="s">
        <v>13</v>
      </c>
      <c r="W824" s="2">
        <v>42802</v>
      </c>
      <c r="X824" s="1" t="s">
        <v>14</v>
      </c>
      <c r="Y824" s="1" t="str">
        <f>"4060584889"</f>
        <v>4060584889</v>
      </c>
    </row>
    <row r="825" spans="1:25" x14ac:dyDescent="0.2">
      <c r="A825" s="9" t="s">
        <v>819</v>
      </c>
      <c r="B825" s="10">
        <v>42794</v>
      </c>
      <c r="C825" s="9" t="s">
        <v>820</v>
      </c>
      <c r="D825" s="9" t="s">
        <v>279</v>
      </c>
      <c r="E825" s="9" t="s">
        <v>2190</v>
      </c>
      <c r="F825" s="9">
        <v>0</v>
      </c>
      <c r="G825" s="8">
        <v>8588</v>
      </c>
      <c r="H825" s="4">
        <f t="shared" si="513"/>
        <v>0</v>
      </c>
      <c r="I825" s="4">
        <f t="shared" si="514"/>
        <v>0</v>
      </c>
      <c r="J825" s="4">
        <f t="shared" si="515"/>
        <v>0</v>
      </c>
      <c r="K825" s="4">
        <f t="shared" si="516"/>
        <v>8588</v>
      </c>
      <c r="L825" s="4">
        <f t="shared" si="517"/>
        <v>0</v>
      </c>
      <c r="M825" s="4">
        <f t="shared" si="518"/>
        <v>0</v>
      </c>
      <c r="N825" s="4">
        <f t="shared" si="519"/>
        <v>8588</v>
      </c>
      <c r="O825" s="5">
        <f t="shared" si="520"/>
        <v>61</v>
      </c>
      <c r="P825" s="6" t="str">
        <f t="shared" si="521"/>
        <v>61 To 90 Days</v>
      </c>
      <c r="Q825" s="7">
        <v>42855</v>
      </c>
      <c r="R825" s="6" t="s">
        <v>2178</v>
      </c>
      <c r="Y825" s="1" t="str">
        <f>"4540130552"</f>
        <v>4540130552</v>
      </c>
    </row>
    <row r="826" spans="1:25" x14ac:dyDescent="0.2">
      <c r="A826" s="9" t="s">
        <v>1190</v>
      </c>
      <c r="B826" s="10">
        <v>42815</v>
      </c>
      <c r="C826" s="9" t="s">
        <v>1191</v>
      </c>
      <c r="D826" s="9" t="s">
        <v>164</v>
      </c>
      <c r="E826" s="9" t="s">
        <v>2190</v>
      </c>
      <c r="F826" s="9">
        <v>0</v>
      </c>
      <c r="G826" s="8">
        <v>8594</v>
      </c>
      <c r="H826" s="4">
        <f t="shared" si="513"/>
        <v>0</v>
      </c>
      <c r="I826" s="4">
        <f t="shared" si="514"/>
        <v>8594</v>
      </c>
      <c r="J826" s="4">
        <f t="shared" si="515"/>
        <v>0</v>
      </c>
      <c r="K826" s="4">
        <f t="shared" si="516"/>
        <v>0</v>
      </c>
      <c r="L826" s="4">
        <f t="shared" si="517"/>
        <v>0</v>
      </c>
      <c r="M826" s="4">
        <f t="shared" si="518"/>
        <v>0</v>
      </c>
      <c r="N826" s="4">
        <f t="shared" si="519"/>
        <v>0</v>
      </c>
      <c r="O826" s="5">
        <f t="shared" si="520"/>
        <v>40</v>
      </c>
      <c r="P826" s="6" t="str">
        <f t="shared" si="521"/>
        <v>31 TO 45 Days</v>
      </c>
      <c r="Q826" s="7">
        <v>42855</v>
      </c>
      <c r="R826" s="6" t="s">
        <v>2178</v>
      </c>
      <c r="Y826" s="1" t="str">
        <f>"4711237363"</f>
        <v>4711237363</v>
      </c>
    </row>
    <row r="827" spans="1:25" x14ac:dyDescent="0.2">
      <c r="A827" s="9" t="s">
        <v>999</v>
      </c>
      <c r="B827" s="10">
        <v>42808</v>
      </c>
      <c r="C827" s="9" t="s">
        <v>1000</v>
      </c>
      <c r="D827" s="9" t="s">
        <v>133</v>
      </c>
      <c r="E827" s="9" t="s">
        <v>2190</v>
      </c>
      <c r="F827" s="9">
        <v>20000000</v>
      </c>
      <c r="G827" s="8">
        <v>8611</v>
      </c>
      <c r="H827" s="4">
        <f t="shared" si="513"/>
        <v>0</v>
      </c>
      <c r="I827" s="4">
        <f t="shared" si="514"/>
        <v>0</v>
      </c>
      <c r="J827" s="4">
        <f t="shared" si="515"/>
        <v>8611</v>
      </c>
      <c r="K827" s="4">
        <f t="shared" si="516"/>
        <v>0</v>
      </c>
      <c r="L827" s="4">
        <f t="shared" si="517"/>
        <v>0</v>
      </c>
      <c r="M827" s="4">
        <f t="shared" si="518"/>
        <v>0</v>
      </c>
      <c r="N827" s="4">
        <f t="shared" si="519"/>
        <v>0</v>
      </c>
      <c r="O827" s="5">
        <f t="shared" si="520"/>
        <v>47</v>
      </c>
      <c r="P827" s="6" t="str">
        <f t="shared" si="521"/>
        <v>46 To 60 Days</v>
      </c>
      <c r="Q827" s="7">
        <v>42855</v>
      </c>
      <c r="R827" s="6" t="s">
        <v>2178</v>
      </c>
      <c r="V827" s="1" t="s">
        <v>13</v>
      </c>
      <c r="W827" s="2">
        <v>42808</v>
      </c>
      <c r="X827" s="1" t="s">
        <v>14</v>
      </c>
      <c r="Y827" s="1" t="str">
        <f>"4570269306"</f>
        <v>4570269306</v>
      </c>
    </row>
    <row r="828" spans="1:25" x14ac:dyDescent="0.2">
      <c r="A828" s="9" t="s">
        <v>747</v>
      </c>
      <c r="B828" s="10">
        <v>42793</v>
      </c>
      <c r="C828" s="9" t="s">
        <v>748</v>
      </c>
      <c r="D828" s="9" t="s">
        <v>17</v>
      </c>
      <c r="E828" s="9" t="s">
        <v>2190</v>
      </c>
      <c r="F828" s="9">
        <v>500000</v>
      </c>
      <c r="G828" s="8">
        <v>8617</v>
      </c>
      <c r="H828" s="4">
        <f t="shared" si="513"/>
        <v>0</v>
      </c>
      <c r="I828" s="4">
        <f t="shared" si="514"/>
        <v>0</v>
      </c>
      <c r="J828" s="4">
        <f t="shared" si="515"/>
        <v>0</v>
      </c>
      <c r="K828" s="4">
        <f t="shared" si="516"/>
        <v>8617</v>
      </c>
      <c r="L828" s="4">
        <f t="shared" si="517"/>
        <v>0</v>
      </c>
      <c r="M828" s="4">
        <f t="shared" si="518"/>
        <v>0</v>
      </c>
      <c r="N828" s="4">
        <f t="shared" si="519"/>
        <v>8617</v>
      </c>
      <c r="O828" s="5">
        <f t="shared" si="520"/>
        <v>62</v>
      </c>
      <c r="P828" s="6" t="str">
        <f t="shared" si="521"/>
        <v>61 To 90 Days</v>
      </c>
      <c r="Q828" s="7">
        <v>42855</v>
      </c>
      <c r="R828" s="6" t="s">
        <v>2178</v>
      </c>
      <c r="Y828" s="1" t="str">
        <f>"4400188472"</f>
        <v>4400188472</v>
      </c>
    </row>
    <row r="829" spans="1:25" x14ac:dyDescent="0.2">
      <c r="A829" s="9" t="s">
        <v>1598</v>
      </c>
      <c r="B829" s="10">
        <v>42826</v>
      </c>
      <c r="C829" s="9" t="s">
        <v>1599</v>
      </c>
      <c r="D829" s="9" t="s">
        <v>143</v>
      </c>
      <c r="E829" s="9" t="s">
        <v>2190</v>
      </c>
      <c r="F829" s="9">
        <v>600000</v>
      </c>
      <c r="G829" s="8">
        <v>8623</v>
      </c>
      <c r="H829" s="4">
        <f t="shared" si="513"/>
        <v>8623</v>
      </c>
      <c r="I829" s="4">
        <f t="shared" si="514"/>
        <v>0</v>
      </c>
      <c r="J829" s="4">
        <f t="shared" si="515"/>
        <v>0</v>
      </c>
      <c r="K829" s="4">
        <f t="shared" si="516"/>
        <v>0</v>
      </c>
      <c r="L829" s="4">
        <f t="shared" si="517"/>
        <v>0</v>
      </c>
      <c r="M829" s="4">
        <f t="shared" si="518"/>
        <v>0</v>
      </c>
      <c r="N829" s="4">
        <f t="shared" si="519"/>
        <v>0</v>
      </c>
      <c r="O829" s="5">
        <f t="shared" si="520"/>
        <v>29</v>
      </c>
      <c r="P829" s="6" t="str">
        <f t="shared" si="521"/>
        <v>30 Days</v>
      </c>
      <c r="Q829" s="7">
        <v>42855</v>
      </c>
      <c r="R829" s="6" t="s">
        <v>2178</v>
      </c>
      <c r="V829" s="1" t="s">
        <v>13</v>
      </c>
      <c r="W829" s="2">
        <v>42828</v>
      </c>
      <c r="X829" s="1" t="s">
        <v>14</v>
      </c>
      <c r="Y829" s="1" t="str">
        <f>"4071590392"</f>
        <v>4071590392</v>
      </c>
    </row>
    <row r="830" spans="1:25" x14ac:dyDescent="0.2">
      <c r="A830" s="9" t="s">
        <v>890</v>
      </c>
      <c r="B830" s="10">
        <v>42798</v>
      </c>
      <c r="C830" s="9" t="s">
        <v>891</v>
      </c>
      <c r="D830" s="9" t="s">
        <v>164</v>
      </c>
      <c r="E830" s="9" t="s">
        <v>2190</v>
      </c>
      <c r="F830" s="9">
        <v>0</v>
      </c>
      <c r="G830" s="8">
        <v>8624</v>
      </c>
      <c r="H830" s="4">
        <f t="shared" si="513"/>
        <v>0</v>
      </c>
      <c r="I830" s="4">
        <f t="shared" si="514"/>
        <v>0</v>
      </c>
      <c r="J830" s="4">
        <f t="shared" si="515"/>
        <v>8624</v>
      </c>
      <c r="K830" s="4">
        <f t="shared" si="516"/>
        <v>0</v>
      </c>
      <c r="L830" s="4">
        <f t="shared" si="517"/>
        <v>0</v>
      </c>
      <c r="M830" s="4">
        <f t="shared" si="518"/>
        <v>0</v>
      </c>
      <c r="N830" s="4">
        <f t="shared" si="519"/>
        <v>0</v>
      </c>
      <c r="O830" s="5">
        <f t="shared" si="520"/>
        <v>57</v>
      </c>
      <c r="P830" s="6" t="str">
        <f t="shared" si="521"/>
        <v>46 To 60 Days</v>
      </c>
      <c r="Q830" s="7">
        <v>42855</v>
      </c>
      <c r="R830" s="6" t="s">
        <v>2178</v>
      </c>
      <c r="Y830" s="1" t="str">
        <f>"4711233408"</f>
        <v>4711233408</v>
      </c>
    </row>
    <row r="831" spans="1:25" x14ac:dyDescent="0.2">
      <c r="A831" s="9" t="s">
        <v>2081</v>
      </c>
      <c r="B831" s="10">
        <v>42838</v>
      </c>
      <c r="C831" s="9" t="s">
        <v>2082</v>
      </c>
      <c r="D831" s="9" t="s">
        <v>133</v>
      </c>
      <c r="E831" s="9" t="s">
        <v>2190</v>
      </c>
      <c r="F831" s="9">
        <v>20000000</v>
      </c>
      <c r="G831" s="8">
        <v>8632</v>
      </c>
      <c r="H831" s="4">
        <f t="shared" si="513"/>
        <v>8632</v>
      </c>
      <c r="I831" s="4">
        <f t="shared" si="514"/>
        <v>0</v>
      </c>
      <c r="J831" s="4">
        <f t="shared" si="515"/>
        <v>0</v>
      </c>
      <c r="K831" s="4">
        <f t="shared" si="516"/>
        <v>0</v>
      </c>
      <c r="L831" s="4">
        <f t="shared" si="517"/>
        <v>0</v>
      </c>
      <c r="M831" s="4">
        <f t="shared" si="518"/>
        <v>0</v>
      </c>
      <c r="N831" s="4">
        <f t="shared" si="519"/>
        <v>0</v>
      </c>
      <c r="O831" s="5">
        <f t="shared" si="520"/>
        <v>17</v>
      </c>
      <c r="P831" s="6" t="str">
        <f t="shared" si="521"/>
        <v>30 Days</v>
      </c>
      <c r="Q831" s="7">
        <v>42855</v>
      </c>
      <c r="R831" s="6" t="str">
        <f>VLOOKUP(A831:A5518,[1]BOM_INV_OPERATOR_DETAILS_OUTPUT!$A$2:$D$1233,4,FALSE)</f>
        <v>AI</v>
      </c>
      <c r="V831" s="1" t="s">
        <v>13</v>
      </c>
      <c r="W831" s="2">
        <v>42838</v>
      </c>
      <c r="X831" s="1" t="s">
        <v>14</v>
      </c>
      <c r="Y831" s="1" t="str">
        <f>"4720491472"</f>
        <v>4720491472</v>
      </c>
    </row>
    <row r="832" spans="1:25" x14ac:dyDescent="0.2">
      <c r="A832" s="9" t="s">
        <v>867</v>
      </c>
      <c r="B832" s="10">
        <v>42796</v>
      </c>
      <c r="C832" s="9" t="s">
        <v>868</v>
      </c>
      <c r="D832" s="9" t="s">
        <v>164</v>
      </c>
      <c r="E832" s="9" t="s">
        <v>2190</v>
      </c>
      <c r="F832" s="9">
        <v>0</v>
      </c>
      <c r="G832" s="8">
        <v>8635</v>
      </c>
      <c r="H832" s="4">
        <f t="shared" ref="H832:H866" si="522">IF(O832&lt;=30,G832,0)</f>
        <v>0</v>
      </c>
      <c r="I832" s="4">
        <f t="shared" ref="I832:I866" si="523">IF(AND(O832&gt;30,O832&lt;=45),G832,0)</f>
        <v>0</v>
      </c>
      <c r="J832" s="4">
        <f t="shared" ref="J832:J866" si="524">IF(AND(O832&gt;45,O832&lt;=60),G832,0)</f>
        <v>8635</v>
      </c>
      <c r="K832" s="4">
        <f t="shared" ref="K832:K866" si="525">IF(AND(O832&gt;60,O832&lt;=90),G832,0)</f>
        <v>0</v>
      </c>
      <c r="L832" s="4">
        <f t="shared" ref="L832:L866" si="526">IF(AND(O832&gt;90,O832&lt;=120),G832,0)</f>
        <v>0</v>
      </c>
      <c r="M832" s="4">
        <f t="shared" ref="M832:M866" si="527">IF(O832&gt;120,G832,0)</f>
        <v>0</v>
      </c>
      <c r="N832" s="4">
        <f t="shared" ref="N832:N866" si="528">IF(O832&gt;60,G832,0)</f>
        <v>0</v>
      </c>
      <c r="O832" s="5">
        <f t="shared" ref="O832:O866" si="529">Q832-B832</f>
        <v>59</v>
      </c>
      <c r="P832" s="6" t="str">
        <f t="shared" ref="P832:P866" si="530">IF(AND(O832&lt;=30),"30 Days",IF(AND(O832&gt;30,O832&lt;=45),"31 TO 45 Days",IF(AND(O832&gt;45,O832&lt;=60),"46 To 60 Days",IF(AND(O832&gt;60,O832&lt;=90),"61 To 90 Days",IF(AND(O832&gt;90,O832&lt;=120),"91 To 120 Days",IF(AND(O832&gt;120),"Plus120Days",))))))</f>
        <v>46 To 60 Days</v>
      </c>
      <c r="Q832" s="7">
        <v>42855</v>
      </c>
      <c r="R832" s="6" t="s">
        <v>2178</v>
      </c>
      <c r="Y832" s="1" t="str">
        <f>"4711232778"</f>
        <v>4711232778</v>
      </c>
    </row>
    <row r="833" spans="1:25" x14ac:dyDescent="0.2">
      <c r="A833" s="9" t="s">
        <v>1244</v>
      </c>
      <c r="B833" s="10">
        <v>42817</v>
      </c>
      <c r="C833" s="9" t="s">
        <v>1245</v>
      </c>
      <c r="D833" s="9" t="s">
        <v>1243</v>
      </c>
      <c r="E833" s="9" t="s">
        <v>2190</v>
      </c>
      <c r="F833" s="9">
        <v>300000</v>
      </c>
      <c r="G833" s="8">
        <v>8646</v>
      </c>
      <c r="H833" s="4">
        <f t="shared" si="522"/>
        <v>0</v>
      </c>
      <c r="I833" s="4">
        <f t="shared" si="523"/>
        <v>8646</v>
      </c>
      <c r="J833" s="4">
        <f t="shared" si="524"/>
        <v>0</v>
      </c>
      <c r="K833" s="4">
        <f t="shared" si="525"/>
        <v>0</v>
      </c>
      <c r="L833" s="4">
        <f t="shared" si="526"/>
        <v>0</v>
      </c>
      <c r="M833" s="4">
        <f t="shared" si="527"/>
        <v>0</v>
      </c>
      <c r="N833" s="4">
        <f t="shared" si="528"/>
        <v>0</v>
      </c>
      <c r="O833" s="5">
        <f t="shared" si="529"/>
        <v>38</v>
      </c>
      <c r="P833" s="6" t="str">
        <f t="shared" si="530"/>
        <v>31 TO 45 Days</v>
      </c>
      <c r="Q833" s="7">
        <v>42855</v>
      </c>
      <c r="R833" s="6" t="s">
        <v>2178</v>
      </c>
      <c r="Y833" s="1" t="str">
        <f>"4912901064"</f>
        <v>4912901064</v>
      </c>
    </row>
    <row r="834" spans="1:25" x14ac:dyDescent="0.2">
      <c r="A834" s="9" t="s">
        <v>1413</v>
      </c>
      <c r="B834" s="10">
        <v>42822</v>
      </c>
      <c r="C834" s="9" t="s">
        <v>1414</v>
      </c>
      <c r="D834" s="9" t="s">
        <v>133</v>
      </c>
      <c r="E834" s="9" t="s">
        <v>2190</v>
      </c>
      <c r="F834" s="9">
        <v>20000000</v>
      </c>
      <c r="G834" s="8">
        <v>8655</v>
      </c>
      <c r="H834" s="4">
        <f t="shared" si="522"/>
        <v>0</v>
      </c>
      <c r="I834" s="4">
        <f t="shared" si="523"/>
        <v>8655</v>
      </c>
      <c r="J834" s="4">
        <f t="shared" si="524"/>
        <v>0</v>
      </c>
      <c r="K834" s="4">
        <f t="shared" si="525"/>
        <v>0</v>
      </c>
      <c r="L834" s="4">
        <f t="shared" si="526"/>
        <v>0</v>
      </c>
      <c r="M834" s="4">
        <f t="shared" si="527"/>
        <v>0</v>
      </c>
      <c r="N834" s="4">
        <f t="shared" si="528"/>
        <v>0</v>
      </c>
      <c r="O834" s="5">
        <f t="shared" si="529"/>
        <v>33</v>
      </c>
      <c r="P834" s="6" t="str">
        <f t="shared" si="530"/>
        <v>31 TO 45 Days</v>
      </c>
      <c r="Q834" s="7">
        <v>42855</v>
      </c>
      <c r="R834" s="6" t="s">
        <v>2178</v>
      </c>
      <c r="V834" s="1" t="s">
        <v>13</v>
      </c>
      <c r="W834" s="2">
        <v>42822</v>
      </c>
      <c r="X834" s="1" t="s">
        <v>14</v>
      </c>
      <c r="Y834" s="1" t="str">
        <f>"4400189243"</f>
        <v>4400189243</v>
      </c>
    </row>
    <row r="835" spans="1:25" x14ac:dyDescent="0.2">
      <c r="A835" s="9" t="s">
        <v>330</v>
      </c>
      <c r="B835" s="10">
        <v>42752</v>
      </c>
      <c r="C835" s="9" t="s">
        <v>331</v>
      </c>
      <c r="D835" s="9" t="s">
        <v>133</v>
      </c>
      <c r="E835" s="9" t="s">
        <v>2190</v>
      </c>
      <c r="F835" s="9">
        <v>20000000</v>
      </c>
      <c r="G835" s="8">
        <v>8657</v>
      </c>
      <c r="H835" s="4">
        <f t="shared" si="522"/>
        <v>0</v>
      </c>
      <c r="I835" s="4">
        <f t="shared" si="523"/>
        <v>0</v>
      </c>
      <c r="J835" s="4">
        <f t="shared" si="524"/>
        <v>0</v>
      </c>
      <c r="K835" s="4">
        <f t="shared" si="525"/>
        <v>0</v>
      </c>
      <c r="L835" s="4">
        <f t="shared" si="526"/>
        <v>8657</v>
      </c>
      <c r="M835" s="4">
        <f t="shared" si="527"/>
        <v>0</v>
      </c>
      <c r="N835" s="4">
        <f t="shared" si="528"/>
        <v>8657</v>
      </c>
      <c r="O835" s="5">
        <f t="shared" si="529"/>
        <v>103</v>
      </c>
      <c r="P835" s="6" t="str">
        <f t="shared" si="530"/>
        <v>91 To 120 Days</v>
      </c>
      <c r="Q835" s="7">
        <v>42855</v>
      </c>
      <c r="R835" s="6" t="s">
        <v>2178</v>
      </c>
      <c r="V835" s="1" t="s">
        <v>13</v>
      </c>
      <c r="Y835" s="1" t="str">
        <f>"4210170688"</f>
        <v>4210170688</v>
      </c>
    </row>
    <row r="836" spans="1:25" x14ac:dyDescent="0.2">
      <c r="A836" s="9" t="s">
        <v>837</v>
      </c>
      <c r="B836" s="10">
        <v>42795</v>
      </c>
      <c r="C836" s="9" t="s">
        <v>838</v>
      </c>
      <c r="D836" s="9" t="s">
        <v>466</v>
      </c>
      <c r="E836" s="9" t="s">
        <v>2190</v>
      </c>
      <c r="F836" s="9">
        <v>200000</v>
      </c>
      <c r="G836" s="8">
        <v>8667</v>
      </c>
      <c r="H836" s="4">
        <f t="shared" si="522"/>
        <v>0</v>
      </c>
      <c r="I836" s="4">
        <f t="shared" si="523"/>
        <v>0</v>
      </c>
      <c r="J836" s="4">
        <f t="shared" si="524"/>
        <v>8667</v>
      </c>
      <c r="K836" s="4">
        <f t="shared" si="525"/>
        <v>0</v>
      </c>
      <c r="L836" s="4">
        <f t="shared" si="526"/>
        <v>0</v>
      </c>
      <c r="M836" s="4">
        <f t="shared" si="527"/>
        <v>0</v>
      </c>
      <c r="N836" s="4">
        <f t="shared" si="528"/>
        <v>0</v>
      </c>
      <c r="O836" s="5">
        <f t="shared" si="529"/>
        <v>60</v>
      </c>
      <c r="P836" s="6" t="str">
        <f t="shared" si="530"/>
        <v>46 To 60 Days</v>
      </c>
      <c r="Q836" s="7">
        <v>42855</v>
      </c>
      <c r="R836" s="6" t="s">
        <v>2178</v>
      </c>
      <c r="Y836" s="1" t="str">
        <f>"4711232045"</f>
        <v>4711232045</v>
      </c>
    </row>
    <row r="837" spans="1:25" x14ac:dyDescent="0.2">
      <c r="A837" s="9" t="s">
        <v>1832</v>
      </c>
      <c r="B837" s="10">
        <v>42835</v>
      </c>
      <c r="C837" s="9" t="s">
        <v>1833</v>
      </c>
      <c r="D837" s="9" t="s">
        <v>148</v>
      </c>
      <c r="E837" s="9" t="s">
        <v>2190</v>
      </c>
      <c r="F837" s="9">
        <v>500000</v>
      </c>
      <c r="G837" s="8">
        <v>8669</v>
      </c>
      <c r="H837" s="4">
        <f t="shared" si="522"/>
        <v>8669</v>
      </c>
      <c r="I837" s="4">
        <f t="shared" si="523"/>
        <v>0</v>
      </c>
      <c r="J837" s="4">
        <f t="shared" si="524"/>
        <v>0</v>
      </c>
      <c r="K837" s="4">
        <f t="shared" si="525"/>
        <v>0</v>
      </c>
      <c r="L837" s="4">
        <f t="shared" si="526"/>
        <v>0</v>
      </c>
      <c r="M837" s="4">
        <f t="shared" si="527"/>
        <v>0</v>
      </c>
      <c r="N837" s="4">
        <f t="shared" si="528"/>
        <v>0</v>
      </c>
      <c r="O837" s="5">
        <f t="shared" si="529"/>
        <v>20</v>
      </c>
      <c r="P837" s="6" t="str">
        <f t="shared" si="530"/>
        <v>30 Days</v>
      </c>
      <c r="Q837" s="7">
        <v>42855</v>
      </c>
      <c r="R837" s="6" t="s">
        <v>2178</v>
      </c>
      <c r="Y837" s="1" t="str">
        <f>"4540131693"</f>
        <v>4540131693</v>
      </c>
    </row>
    <row r="838" spans="1:25" x14ac:dyDescent="0.2">
      <c r="A838" s="9" t="s">
        <v>474</v>
      </c>
      <c r="B838" s="10">
        <v>42769</v>
      </c>
      <c r="C838" s="9" t="s">
        <v>475</v>
      </c>
      <c r="D838" s="9" t="s">
        <v>30</v>
      </c>
      <c r="E838" s="9" t="s">
        <v>2190</v>
      </c>
      <c r="F838" s="9">
        <v>700000</v>
      </c>
      <c r="G838" s="8">
        <v>8670</v>
      </c>
      <c r="H838" s="4">
        <f t="shared" si="522"/>
        <v>0</v>
      </c>
      <c r="I838" s="4">
        <f t="shared" si="523"/>
        <v>0</v>
      </c>
      <c r="J838" s="4">
        <f t="shared" si="524"/>
        <v>0</v>
      </c>
      <c r="K838" s="4">
        <f t="shared" si="525"/>
        <v>8670</v>
      </c>
      <c r="L838" s="4">
        <f t="shared" si="526"/>
        <v>0</v>
      </c>
      <c r="M838" s="4">
        <f t="shared" si="527"/>
        <v>0</v>
      </c>
      <c r="N838" s="4">
        <f t="shared" si="528"/>
        <v>8670</v>
      </c>
      <c r="O838" s="5">
        <f t="shared" si="529"/>
        <v>86</v>
      </c>
      <c r="P838" s="6" t="str">
        <f t="shared" si="530"/>
        <v>61 To 90 Days</v>
      </c>
      <c r="Q838" s="7">
        <v>42855</v>
      </c>
      <c r="R838" s="6" t="s">
        <v>2178</v>
      </c>
      <c r="Y838" s="1" t="str">
        <f>"4711226807"</f>
        <v>4711226807</v>
      </c>
    </row>
    <row r="839" spans="1:25" x14ac:dyDescent="0.2">
      <c r="A839" s="9" t="s">
        <v>497</v>
      </c>
      <c r="B839" s="10">
        <v>42774</v>
      </c>
      <c r="C839" s="9" t="s">
        <v>498</v>
      </c>
      <c r="D839" s="9" t="s">
        <v>161</v>
      </c>
      <c r="E839" s="9" t="s">
        <v>2190</v>
      </c>
      <c r="F839" s="9">
        <v>0</v>
      </c>
      <c r="G839" s="8">
        <v>8670</v>
      </c>
      <c r="H839" s="4">
        <f t="shared" si="522"/>
        <v>0</v>
      </c>
      <c r="I839" s="4">
        <f t="shared" si="523"/>
        <v>0</v>
      </c>
      <c r="J839" s="4">
        <f t="shared" si="524"/>
        <v>0</v>
      </c>
      <c r="K839" s="4">
        <f t="shared" si="525"/>
        <v>8670</v>
      </c>
      <c r="L839" s="4">
        <f t="shared" si="526"/>
        <v>0</v>
      </c>
      <c r="M839" s="4">
        <f t="shared" si="527"/>
        <v>0</v>
      </c>
      <c r="N839" s="4">
        <f t="shared" si="528"/>
        <v>8670</v>
      </c>
      <c r="O839" s="5">
        <f t="shared" si="529"/>
        <v>81</v>
      </c>
      <c r="P839" s="6" t="str">
        <f t="shared" si="530"/>
        <v>61 To 90 Days</v>
      </c>
      <c r="Q839" s="7">
        <v>42855</v>
      </c>
      <c r="R839" s="6" t="s">
        <v>2178</v>
      </c>
      <c r="Y839" s="1" t="str">
        <f>"4711226883"</f>
        <v>4711226883</v>
      </c>
    </row>
    <row r="840" spans="1:25" x14ac:dyDescent="0.2">
      <c r="A840" s="9" t="s">
        <v>2100</v>
      </c>
      <c r="B840" s="10">
        <v>42838</v>
      </c>
      <c r="C840" s="9" t="s">
        <v>2101</v>
      </c>
      <c r="D840" s="9" t="s">
        <v>2099</v>
      </c>
      <c r="E840" s="9" t="s">
        <v>2190</v>
      </c>
      <c r="F840" s="9">
        <v>0</v>
      </c>
      <c r="G840" s="8">
        <v>8672</v>
      </c>
      <c r="H840" s="4">
        <f t="shared" si="522"/>
        <v>8672</v>
      </c>
      <c r="I840" s="4">
        <f t="shared" si="523"/>
        <v>0</v>
      </c>
      <c r="J840" s="4">
        <f t="shared" si="524"/>
        <v>0</v>
      </c>
      <c r="K840" s="4">
        <f t="shared" si="525"/>
        <v>0</v>
      </c>
      <c r="L840" s="4">
        <f t="shared" si="526"/>
        <v>0</v>
      </c>
      <c r="M840" s="4">
        <f t="shared" si="527"/>
        <v>0</v>
      </c>
      <c r="N840" s="4">
        <f t="shared" si="528"/>
        <v>0</v>
      </c>
      <c r="O840" s="5">
        <f t="shared" si="529"/>
        <v>17</v>
      </c>
      <c r="P840" s="6" t="str">
        <f t="shared" si="530"/>
        <v>30 Days</v>
      </c>
      <c r="Q840" s="7">
        <v>42855</v>
      </c>
      <c r="R840" s="6" t="str">
        <f>VLOOKUP(A840:A5529,[1]BOM_INV_OPERATOR_DETAILS_OUTPUT!$A$2:$D$1233,4,FALSE)</f>
        <v>AI</v>
      </c>
      <c r="Y840" s="1" t="str">
        <f>"4912922540"</f>
        <v>4912922540</v>
      </c>
    </row>
    <row r="841" spans="1:25" x14ac:dyDescent="0.2">
      <c r="A841" s="9" t="s">
        <v>1186</v>
      </c>
      <c r="B841" s="10">
        <v>42815</v>
      </c>
      <c r="C841" s="9" t="s">
        <v>1187</v>
      </c>
      <c r="D841" s="9" t="s">
        <v>164</v>
      </c>
      <c r="E841" s="9" t="s">
        <v>2190</v>
      </c>
      <c r="F841" s="9">
        <v>0</v>
      </c>
      <c r="G841" s="8">
        <v>8678</v>
      </c>
      <c r="H841" s="4">
        <f t="shared" si="522"/>
        <v>0</v>
      </c>
      <c r="I841" s="4">
        <f t="shared" si="523"/>
        <v>8678</v>
      </c>
      <c r="J841" s="4">
        <f t="shared" si="524"/>
        <v>0</v>
      </c>
      <c r="K841" s="4">
        <f t="shared" si="525"/>
        <v>0</v>
      </c>
      <c r="L841" s="4">
        <f t="shared" si="526"/>
        <v>0</v>
      </c>
      <c r="M841" s="4">
        <f t="shared" si="527"/>
        <v>0</v>
      </c>
      <c r="N841" s="4">
        <f t="shared" si="528"/>
        <v>0</v>
      </c>
      <c r="O841" s="5">
        <f t="shared" si="529"/>
        <v>40</v>
      </c>
      <c r="P841" s="6" t="str">
        <f t="shared" si="530"/>
        <v>31 TO 45 Days</v>
      </c>
      <c r="Q841" s="7">
        <v>42855</v>
      </c>
      <c r="R841" s="6" t="s">
        <v>2178</v>
      </c>
      <c r="Y841" s="1" t="str">
        <f>"4711236960"</f>
        <v>4711236960</v>
      </c>
    </row>
    <row r="842" spans="1:25" x14ac:dyDescent="0.2">
      <c r="A842" s="9" t="s">
        <v>1172</v>
      </c>
      <c r="B842" s="10">
        <v>42815</v>
      </c>
      <c r="C842" s="9" t="s">
        <v>1173</v>
      </c>
      <c r="D842" s="9" t="s">
        <v>30</v>
      </c>
      <c r="E842" s="9" t="s">
        <v>2190</v>
      </c>
      <c r="F842" s="9">
        <v>700000</v>
      </c>
      <c r="G842" s="8">
        <v>8680</v>
      </c>
      <c r="H842" s="4">
        <f t="shared" si="522"/>
        <v>0</v>
      </c>
      <c r="I842" s="4">
        <f t="shared" si="523"/>
        <v>8680</v>
      </c>
      <c r="J842" s="4">
        <f t="shared" si="524"/>
        <v>0</v>
      </c>
      <c r="K842" s="4">
        <f t="shared" si="525"/>
        <v>0</v>
      </c>
      <c r="L842" s="4">
        <f t="shared" si="526"/>
        <v>0</v>
      </c>
      <c r="M842" s="4">
        <f t="shared" si="527"/>
        <v>0</v>
      </c>
      <c r="N842" s="4">
        <f t="shared" si="528"/>
        <v>0</v>
      </c>
      <c r="O842" s="5">
        <f t="shared" si="529"/>
        <v>40</v>
      </c>
      <c r="P842" s="6" t="str">
        <f t="shared" si="530"/>
        <v>31 TO 45 Days</v>
      </c>
      <c r="Q842" s="7">
        <v>42855</v>
      </c>
      <c r="R842" s="6" t="s">
        <v>2178</v>
      </c>
      <c r="Y842" s="1" t="str">
        <f>"4395859560"</f>
        <v>4395859560</v>
      </c>
    </row>
    <row r="843" spans="1:25" x14ac:dyDescent="0.2">
      <c r="A843" s="9" t="s">
        <v>1368</v>
      </c>
      <c r="B843" s="10">
        <v>42822</v>
      </c>
      <c r="C843" s="9" t="s">
        <v>1369</v>
      </c>
      <c r="D843" s="9" t="s">
        <v>16</v>
      </c>
      <c r="E843" s="9" t="s">
        <v>2190</v>
      </c>
      <c r="F843" s="9">
        <v>600000</v>
      </c>
      <c r="G843" s="8">
        <v>8682</v>
      </c>
      <c r="H843" s="4">
        <f t="shared" si="522"/>
        <v>0</v>
      </c>
      <c r="I843" s="4">
        <f t="shared" si="523"/>
        <v>8682</v>
      </c>
      <c r="J843" s="4">
        <f t="shared" si="524"/>
        <v>0</v>
      </c>
      <c r="K843" s="4">
        <f t="shared" si="525"/>
        <v>0</v>
      </c>
      <c r="L843" s="4">
        <f t="shared" si="526"/>
        <v>0</v>
      </c>
      <c r="M843" s="4">
        <f t="shared" si="527"/>
        <v>0</v>
      </c>
      <c r="N843" s="4">
        <f t="shared" si="528"/>
        <v>0</v>
      </c>
      <c r="O843" s="5">
        <f t="shared" si="529"/>
        <v>33</v>
      </c>
      <c r="P843" s="6" t="str">
        <f t="shared" si="530"/>
        <v>31 TO 45 Days</v>
      </c>
      <c r="Q843" s="7">
        <v>42855</v>
      </c>
      <c r="R843" s="6" t="s">
        <v>2178</v>
      </c>
      <c r="Y843" s="1" t="str">
        <f>"417268405"</f>
        <v>417268405</v>
      </c>
    </row>
    <row r="844" spans="1:25" x14ac:dyDescent="0.2">
      <c r="A844" s="9" t="s">
        <v>1356</v>
      </c>
      <c r="B844" s="10">
        <v>42821</v>
      </c>
      <c r="C844" s="9" t="s">
        <v>1357</v>
      </c>
      <c r="D844" s="9" t="s">
        <v>666</v>
      </c>
      <c r="E844" s="9" t="s">
        <v>2190</v>
      </c>
      <c r="F844" s="9">
        <v>3377500</v>
      </c>
      <c r="G844" s="8">
        <v>8689</v>
      </c>
      <c r="H844" s="4">
        <f t="shared" si="522"/>
        <v>0</v>
      </c>
      <c r="I844" s="4">
        <f t="shared" si="523"/>
        <v>8689</v>
      </c>
      <c r="J844" s="4">
        <f t="shared" si="524"/>
        <v>0</v>
      </c>
      <c r="K844" s="4">
        <f t="shared" si="525"/>
        <v>0</v>
      </c>
      <c r="L844" s="4">
        <f t="shared" si="526"/>
        <v>0</v>
      </c>
      <c r="M844" s="4">
        <f t="shared" si="527"/>
        <v>0</v>
      </c>
      <c r="N844" s="4">
        <f t="shared" si="528"/>
        <v>0</v>
      </c>
      <c r="O844" s="5">
        <f t="shared" si="529"/>
        <v>34</v>
      </c>
      <c r="P844" s="6" t="str">
        <f t="shared" si="530"/>
        <v>31 TO 45 Days</v>
      </c>
      <c r="Q844" s="7">
        <v>42855</v>
      </c>
      <c r="R844" s="6" t="s">
        <v>2178</v>
      </c>
      <c r="S844" s="1">
        <v>130.47999999999999</v>
      </c>
      <c r="T844" s="1" t="s">
        <v>31</v>
      </c>
      <c r="V844" s="1" t="s">
        <v>13</v>
      </c>
      <c r="W844" s="2">
        <v>42821</v>
      </c>
      <c r="X844" s="1" t="s">
        <v>14</v>
      </c>
      <c r="Y844" s="1" t="str">
        <f>"410387440"</f>
        <v>410387440</v>
      </c>
    </row>
    <row r="845" spans="1:25" x14ac:dyDescent="0.2">
      <c r="A845" s="9" t="s">
        <v>798</v>
      </c>
      <c r="B845" s="10">
        <v>42794</v>
      </c>
      <c r="C845" s="9" t="s">
        <v>799</v>
      </c>
      <c r="D845" s="9" t="s">
        <v>30</v>
      </c>
      <c r="E845" s="9" t="s">
        <v>2190</v>
      </c>
      <c r="F845" s="9">
        <v>700000</v>
      </c>
      <c r="G845" s="8">
        <v>8691</v>
      </c>
      <c r="H845" s="4">
        <f t="shared" si="522"/>
        <v>0</v>
      </c>
      <c r="I845" s="4">
        <f t="shared" si="523"/>
        <v>0</v>
      </c>
      <c r="J845" s="4">
        <f t="shared" si="524"/>
        <v>0</v>
      </c>
      <c r="K845" s="4">
        <f t="shared" si="525"/>
        <v>8691</v>
      </c>
      <c r="L845" s="4">
        <f t="shared" si="526"/>
        <v>0</v>
      </c>
      <c r="M845" s="4">
        <f t="shared" si="527"/>
        <v>0</v>
      </c>
      <c r="N845" s="4">
        <f t="shared" si="528"/>
        <v>8691</v>
      </c>
      <c r="O845" s="5">
        <f t="shared" si="529"/>
        <v>61</v>
      </c>
      <c r="P845" s="6" t="str">
        <f t="shared" si="530"/>
        <v>61 To 90 Days</v>
      </c>
      <c r="Q845" s="7">
        <v>42855</v>
      </c>
      <c r="R845" s="6" t="s">
        <v>2178</v>
      </c>
      <c r="Y845" s="1" t="str">
        <f>"4560217365"</f>
        <v>4560217365</v>
      </c>
    </row>
    <row r="846" spans="1:25" x14ac:dyDescent="0.2">
      <c r="A846" s="9" t="s">
        <v>1217</v>
      </c>
      <c r="B846" s="10">
        <v>42816</v>
      </c>
      <c r="C846" s="9" t="s">
        <v>1218</v>
      </c>
      <c r="D846" s="9" t="s">
        <v>164</v>
      </c>
      <c r="E846" s="9" t="s">
        <v>2190</v>
      </c>
      <c r="F846" s="9">
        <v>0</v>
      </c>
      <c r="G846" s="8">
        <v>8694</v>
      </c>
      <c r="H846" s="4">
        <f t="shared" si="522"/>
        <v>0</v>
      </c>
      <c r="I846" s="4">
        <f t="shared" si="523"/>
        <v>8694</v>
      </c>
      <c r="J846" s="4">
        <f t="shared" si="524"/>
        <v>0</v>
      </c>
      <c r="K846" s="4">
        <f t="shared" si="525"/>
        <v>0</v>
      </c>
      <c r="L846" s="4">
        <f t="shared" si="526"/>
        <v>0</v>
      </c>
      <c r="M846" s="4">
        <f t="shared" si="527"/>
        <v>0</v>
      </c>
      <c r="N846" s="4">
        <f t="shared" si="528"/>
        <v>0</v>
      </c>
      <c r="O846" s="5">
        <f t="shared" si="529"/>
        <v>39</v>
      </c>
      <c r="P846" s="6" t="str">
        <f t="shared" si="530"/>
        <v>31 TO 45 Days</v>
      </c>
      <c r="Q846" s="7">
        <v>42855</v>
      </c>
      <c r="R846" s="6" t="s">
        <v>2178</v>
      </c>
      <c r="Y846" s="1" t="str">
        <f>"4711237361"</f>
        <v>4711237361</v>
      </c>
    </row>
    <row r="847" spans="1:25" x14ac:dyDescent="0.2">
      <c r="A847" s="9" t="s">
        <v>1661</v>
      </c>
      <c r="B847" s="10">
        <v>42828</v>
      </c>
      <c r="C847" s="9" t="s">
        <v>1662</v>
      </c>
      <c r="D847" s="9" t="s">
        <v>666</v>
      </c>
      <c r="E847" s="9" t="s">
        <v>2190</v>
      </c>
      <c r="F847" s="9">
        <v>3377500</v>
      </c>
      <c r="G847" s="8">
        <v>8697</v>
      </c>
      <c r="H847" s="4">
        <f t="shared" si="522"/>
        <v>8697</v>
      </c>
      <c r="I847" s="4">
        <f t="shared" si="523"/>
        <v>0</v>
      </c>
      <c r="J847" s="4">
        <f t="shared" si="524"/>
        <v>0</v>
      </c>
      <c r="K847" s="4">
        <f t="shared" si="525"/>
        <v>0</v>
      </c>
      <c r="L847" s="4">
        <f t="shared" si="526"/>
        <v>0</v>
      </c>
      <c r="M847" s="4">
        <f t="shared" si="527"/>
        <v>0</v>
      </c>
      <c r="N847" s="4">
        <f t="shared" si="528"/>
        <v>0</v>
      </c>
      <c r="O847" s="5">
        <f t="shared" si="529"/>
        <v>27</v>
      </c>
      <c r="P847" s="6" t="str">
        <f t="shared" si="530"/>
        <v>30 Days</v>
      </c>
      <c r="Q847" s="7">
        <v>42855</v>
      </c>
      <c r="R847" s="6" t="s">
        <v>2178</v>
      </c>
      <c r="S847" s="1">
        <v>131.86000000000001</v>
      </c>
      <c r="T847" s="1" t="s">
        <v>31</v>
      </c>
      <c r="V847" s="1" t="s">
        <v>13</v>
      </c>
      <c r="W847" s="2">
        <v>42828</v>
      </c>
      <c r="X847" s="1" t="s">
        <v>14</v>
      </c>
      <c r="Y847" s="1" t="str">
        <f>"412121590"</f>
        <v>412121590</v>
      </c>
    </row>
    <row r="848" spans="1:25" x14ac:dyDescent="0.2">
      <c r="A848" s="9" t="s">
        <v>1669</v>
      </c>
      <c r="B848" s="10">
        <v>42828</v>
      </c>
      <c r="C848" s="9" t="s">
        <v>1670</v>
      </c>
      <c r="D848" s="9" t="s">
        <v>666</v>
      </c>
      <c r="E848" s="9" t="s">
        <v>2190</v>
      </c>
      <c r="F848" s="9">
        <v>3377500</v>
      </c>
      <c r="G848" s="8">
        <v>8697</v>
      </c>
      <c r="H848" s="4">
        <f t="shared" si="522"/>
        <v>8697</v>
      </c>
      <c r="I848" s="4">
        <f t="shared" si="523"/>
        <v>0</v>
      </c>
      <c r="J848" s="4">
        <f t="shared" si="524"/>
        <v>0</v>
      </c>
      <c r="K848" s="4">
        <f t="shared" si="525"/>
        <v>0</v>
      </c>
      <c r="L848" s="4">
        <f t="shared" si="526"/>
        <v>0</v>
      </c>
      <c r="M848" s="4">
        <f t="shared" si="527"/>
        <v>0</v>
      </c>
      <c r="N848" s="4">
        <f t="shared" si="528"/>
        <v>0</v>
      </c>
      <c r="O848" s="5">
        <f t="shared" si="529"/>
        <v>27</v>
      </c>
      <c r="P848" s="6" t="str">
        <f t="shared" si="530"/>
        <v>30 Days</v>
      </c>
      <c r="Q848" s="7">
        <v>42855</v>
      </c>
      <c r="R848" s="6" t="s">
        <v>2178</v>
      </c>
      <c r="S848" s="1">
        <v>131.86000000000001</v>
      </c>
      <c r="T848" s="1" t="s">
        <v>31</v>
      </c>
      <c r="V848" s="1" t="s">
        <v>13</v>
      </c>
      <c r="W848" s="2">
        <v>42828</v>
      </c>
      <c r="X848" s="1" t="s">
        <v>14</v>
      </c>
      <c r="Y848" s="1" t="str">
        <f>"412121761"</f>
        <v>412121761</v>
      </c>
    </row>
    <row r="849" spans="1:25" x14ac:dyDescent="0.2">
      <c r="A849" s="9" t="s">
        <v>739</v>
      </c>
      <c r="B849" s="10">
        <v>42793</v>
      </c>
      <c r="C849" s="9" t="s">
        <v>740</v>
      </c>
      <c r="D849" s="9" t="s">
        <v>17</v>
      </c>
      <c r="E849" s="9" t="s">
        <v>2190</v>
      </c>
      <c r="F849" s="9">
        <v>500000</v>
      </c>
      <c r="G849" s="8">
        <v>8700</v>
      </c>
      <c r="H849" s="4">
        <f t="shared" si="522"/>
        <v>0</v>
      </c>
      <c r="I849" s="4">
        <f t="shared" si="523"/>
        <v>0</v>
      </c>
      <c r="J849" s="4">
        <f t="shared" si="524"/>
        <v>0</v>
      </c>
      <c r="K849" s="4">
        <f t="shared" si="525"/>
        <v>8700</v>
      </c>
      <c r="L849" s="4">
        <f t="shared" si="526"/>
        <v>0</v>
      </c>
      <c r="M849" s="4">
        <f t="shared" si="527"/>
        <v>0</v>
      </c>
      <c r="N849" s="4">
        <f t="shared" si="528"/>
        <v>8700</v>
      </c>
      <c r="O849" s="5">
        <f t="shared" si="529"/>
        <v>62</v>
      </c>
      <c r="P849" s="6" t="str">
        <f t="shared" si="530"/>
        <v>61 To 90 Days</v>
      </c>
      <c r="Q849" s="7">
        <v>42855</v>
      </c>
      <c r="R849" s="6" t="s">
        <v>2178</v>
      </c>
      <c r="Y849" s="1" t="str">
        <f>"4400188110"</f>
        <v>4400188110</v>
      </c>
    </row>
    <row r="850" spans="1:25" x14ac:dyDescent="0.2">
      <c r="A850" s="9" t="s">
        <v>1732</v>
      </c>
      <c r="B850" s="10">
        <v>42830</v>
      </c>
      <c r="C850" s="9" t="s">
        <v>1733</v>
      </c>
      <c r="D850" s="9" t="s">
        <v>164</v>
      </c>
      <c r="E850" s="9" t="s">
        <v>2190</v>
      </c>
      <c r="F850" s="9">
        <v>0</v>
      </c>
      <c r="G850" s="8">
        <v>8704</v>
      </c>
      <c r="H850" s="4">
        <f t="shared" si="522"/>
        <v>8704</v>
      </c>
      <c r="I850" s="4">
        <f t="shared" si="523"/>
        <v>0</v>
      </c>
      <c r="J850" s="4">
        <f t="shared" si="524"/>
        <v>0</v>
      </c>
      <c r="K850" s="4">
        <f t="shared" si="525"/>
        <v>0</v>
      </c>
      <c r="L850" s="4">
        <f t="shared" si="526"/>
        <v>0</v>
      </c>
      <c r="M850" s="4">
        <f t="shared" si="527"/>
        <v>0</v>
      </c>
      <c r="N850" s="4">
        <f t="shared" si="528"/>
        <v>0</v>
      </c>
      <c r="O850" s="5">
        <f t="shared" si="529"/>
        <v>25</v>
      </c>
      <c r="P850" s="6" t="str">
        <f t="shared" si="530"/>
        <v>30 Days</v>
      </c>
      <c r="Q850" s="7">
        <v>42855</v>
      </c>
      <c r="R850" s="6" t="s">
        <v>2178</v>
      </c>
      <c r="Y850" s="1" t="str">
        <f>"4711241869"</f>
        <v>4711241869</v>
      </c>
    </row>
    <row r="851" spans="1:25" x14ac:dyDescent="0.2">
      <c r="A851" s="9" t="s">
        <v>625</v>
      </c>
      <c r="B851" s="10">
        <v>42786</v>
      </c>
      <c r="C851" s="9" t="s">
        <v>626</v>
      </c>
      <c r="D851" s="9" t="s">
        <v>140</v>
      </c>
      <c r="E851" s="9" t="s">
        <v>2190</v>
      </c>
      <c r="F851" s="9">
        <v>0</v>
      </c>
      <c r="G851" s="8">
        <v>8705</v>
      </c>
      <c r="H851" s="4">
        <f t="shared" si="522"/>
        <v>0</v>
      </c>
      <c r="I851" s="4">
        <f t="shared" si="523"/>
        <v>0</v>
      </c>
      <c r="J851" s="4">
        <f t="shared" si="524"/>
        <v>0</v>
      </c>
      <c r="K851" s="4">
        <f t="shared" si="525"/>
        <v>8705</v>
      </c>
      <c r="L851" s="4">
        <f t="shared" si="526"/>
        <v>0</v>
      </c>
      <c r="M851" s="4">
        <f t="shared" si="527"/>
        <v>0</v>
      </c>
      <c r="N851" s="4">
        <f t="shared" si="528"/>
        <v>8705</v>
      </c>
      <c r="O851" s="5">
        <f t="shared" si="529"/>
        <v>69</v>
      </c>
      <c r="P851" s="6" t="str">
        <f t="shared" si="530"/>
        <v>61 To 90 Days</v>
      </c>
      <c r="Q851" s="7">
        <v>42855</v>
      </c>
      <c r="R851" s="6" t="s">
        <v>2178</v>
      </c>
      <c r="Y851" s="1" t="str">
        <f>"4395843909"</f>
        <v>4395843909</v>
      </c>
    </row>
    <row r="852" spans="1:25" x14ac:dyDescent="0.2">
      <c r="A852" s="9" t="s">
        <v>636</v>
      </c>
      <c r="B852" s="10">
        <v>42787</v>
      </c>
      <c r="C852" s="9" t="s">
        <v>637</v>
      </c>
      <c r="D852" s="9" t="s">
        <v>161</v>
      </c>
      <c r="E852" s="9" t="s">
        <v>2190</v>
      </c>
      <c r="F852" s="9">
        <v>0</v>
      </c>
      <c r="G852" s="8">
        <v>8735</v>
      </c>
      <c r="H852" s="4">
        <f t="shared" si="522"/>
        <v>0</v>
      </c>
      <c r="I852" s="4">
        <f t="shared" si="523"/>
        <v>0</v>
      </c>
      <c r="J852" s="4">
        <f t="shared" si="524"/>
        <v>0</v>
      </c>
      <c r="K852" s="4">
        <f t="shared" si="525"/>
        <v>8735</v>
      </c>
      <c r="L852" s="4">
        <f t="shared" si="526"/>
        <v>0</v>
      </c>
      <c r="M852" s="4">
        <f t="shared" si="527"/>
        <v>0</v>
      </c>
      <c r="N852" s="4">
        <f t="shared" si="528"/>
        <v>8735</v>
      </c>
      <c r="O852" s="5">
        <f t="shared" si="529"/>
        <v>68</v>
      </c>
      <c r="P852" s="6" t="str">
        <f t="shared" si="530"/>
        <v>61 To 90 Days</v>
      </c>
      <c r="Q852" s="7">
        <v>42855</v>
      </c>
      <c r="R852" s="6" t="s">
        <v>2178</v>
      </c>
      <c r="Y852" s="1" t="str">
        <f>"4711230346"</f>
        <v>4711230346</v>
      </c>
    </row>
    <row r="853" spans="1:25" x14ac:dyDescent="0.2">
      <c r="A853" s="9" t="s">
        <v>1311</v>
      </c>
      <c r="B853" s="10">
        <v>42819</v>
      </c>
      <c r="C853" s="9" t="s">
        <v>1312</v>
      </c>
      <c r="D853" s="9" t="s">
        <v>148</v>
      </c>
      <c r="E853" s="9" t="s">
        <v>2190</v>
      </c>
      <c r="F853" s="9">
        <v>500000</v>
      </c>
      <c r="G853" s="8">
        <v>8742</v>
      </c>
      <c r="H853" s="4">
        <f t="shared" si="522"/>
        <v>0</v>
      </c>
      <c r="I853" s="4">
        <f t="shared" si="523"/>
        <v>8742</v>
      </c>
      <c r="J853" s="4">
        <f t="shared" si="524"/>
        <v>0</v>
      </c>
      <c r="K853" s="4">
        <f t="shared" si="525"/>
        <v>0</v>
      </c>
      <c r="L853" s="4">
        <f t="shared" si="526"/>
        <v>0</v>
      </c>
      <c r="M853" s="4">
        <f t="shared" si="527"/>
        <v>0</v>
      </c>
      <c r="N853" s="4">
        <f t="shared" si="528"/>
        <v>0</v>
      </c>
      <c r="O853" s="5">
        <f t="shared" si="529"/>
        <v>36</v>
      </c>
      <c r="P853" s="6" t="str">
        <f t="shared" si="530"/>
        <v>31 TO 45 Days</v>
      </c>
      <c r="Q853" s="7">
        <v>42855</v>
      </c>
      <c r="R853" s="6" t="s">
        <v>2178</v>
      </c>
      <c r="Y853" s="1" t="str">
        <f>"4750388445"</f>
        <v>4750388445</v>
      </c>
    </row>
    <row r="854" spans="1:25" x14ac:dyDescent="0.2">
      <c r="A854" s="9" t="s">
        <v>869</v>
      </c>
      <c r="B854" s="10">
        <v>42796</v>
      </c>
      <c r="C854" s="9" t="s">
        <v>870</v>
      </c>
      <c r="D854" s="9" t="s">
        <v>164</v>
      </c>
      <c r="E854" s="9" t="s">
        <v>2190</v>
      </c>
      <c r="F854" s="9">
        <v>0</v>
      </c>
      <c r="G854" s="8">
        <v>8767</v>
      </c>
      <c r="H854" s="4">
        <f t="shared" si="522"/>
        <v>0</v>
      </c>
      <c r="I854" s="4">
        <f t="shared" si="523"/>
        <v>0</v>
      </c>
      <c r="J854" s="4">
        <f t="shared" si="524"/>
        <v>8767</v>
      </c>
      <c r="K854" s="4">
        <f t="shared" si="525"/>
        <v>0</v>
      </c>
      <c r="L854" s="4">
        <f t="shared" si="526"/>
        <v>0</v>
      </c>
      <c r="M854" s="4">
        <f t="shared" si="527"/>
        <v>0</v>
      </c>
      <c r="N854" s="4">
        <f t="shared" si="528"/>
        <v>0</v>
      </c>
      <c r="O854" s="5">
        <f t="shared" si="529"/>
        <v>59</v>
      </c>
      <c r="P854" s="6" t="str">
        <f t="shared" si="530"/>
        <v>46 To 60 Days</v>
      </c>
      <c r="Q854" s="7">
        <v>42855</v>
      </c>
      <c r="R854" s="6" t="s">
        <v>2178</v>
      </c>
      <c r="Y854" s="1" t="str">
        <f>"4711233200"</f>
        <v>4711233200</v>
      </c>
    </row>
    <row r="855" spans="1:25" x14ac:dyDescent="0.2">
      <c r="A855" s="9" t="s">
        <v>1754</v>
      </c>
      <c r="B855" s="10">
        <v>42831</v>
      </c>
      <c r="C855" s="9" t="s">
        <v>1755</v>
      </c>
      <c r="D855" s="9" t="s">
        <v>30</v>
      </c>
      <c r="E855" s="9" t="s">
        <v>2190</v>
      </c>
      <c r="F855" s="9">
        <v>700000</v>
      </c>
      <c r="G855" s="8">
        <v>8773</v>
      </c>
      <c r="H855" s="4">
        <f t="shared" si="522"/>
        <v>8773</v>
      </c>
      <c r="I855" s="4">
        <f t="shared" si="523"/>
        <v>0</v>
      </c>
      <c r="J855" s="4">
        <f t="shared" si="524"/>
        <v>0</v>
      </c>
      <c r="K855" s="4">
        <f t="shared" si="525"/>
        <v>0</v>
      </c>
      <c r="L855" s="4">
        <f t="shared" si="526"/>
        <v>0</v>
      </c>
      <c r="M855" s="4">
        <f t="shared" si="527"/>
        <v>0</v>
      </c>
      <c r="N855" s="4">
        <f t="shared" si="528"/>
        <v>0</v>
      </c>
      <c r="O855" s="5">
        <f t="shared" si="529"/>
        <v>24</v>
      </c>
      <c r="P855" s="6" t="str">
        <f t="shared" si="530"/>
        <v>30 Days</v>
      </c>
      <c r="Q855" s="7">
        <v>42855</v>
      </c>
      <c r="R855" s="6" t="s">
        <v>2178</v>
      </c>
      <c r="Y855" s="1" t="str">
        <f>"4600158933"</f>
        <v>4600158933</v>
      </c>
    </row>
    <row r="856" spans="1:25" x14ac:dyDescent="0.2">
      <c r="A856" s="9" t="s">
        <v>1034</v>
      </c>
      <c r="B856" s="10">
        <v>42810</v>
      </c>
      <c r="C856" s="9" t="s">
        <v>1035</v>
      </c>
      <c r="D856" s="9" t="s">
        <v>15</v>
      </c>
      <c r="E856" s="9" t="s">
        <v>2190</v>
      </c>
      <c r="F856" s="9">
        <v>5000000</v>
      </c>
      <c r="G856" s="8">
        <v>8775</v>
      </c>
      <c r="H856" s="4">
        <f t="shared" si="522"/>
        <v>0</v>
      </c>
      <c r="I856" s="4">
        <f t="shared" si="523"/>
        <v>8775</v>
      </c>
      <c r="J856" s="4">
        <f t="shared" si="524"/>
        <v>0</v>
      </c>
      <c r="K856" s="4">
        <f t="shared" si="525"/>
        <v>0</v>
      </c>
      <c r="L856" s="4">
        <f t="shared" si="526"/>
        <v>0</v>
      </c>
      <c r="M856" s="4">
        <f t="shared" si="527"/>
        <v>0</v>
      </c>
      <c r="N856" s="4">
        <f t="shared" si="528"/>
        <v>0</v>
      </c>
      <c r="O856" s="5">
        <f t="shared" si="529"/>
        <v>45</v>
      </c>
      <c r="P856" s="6" t="str">
        <f t="shared" si="530"/>
        <v>31 TO 45 Days</v>
      </c>
      <c r="Q856" s="7">
        <v>42855</v>
      </c>
      <c r="R856" s="6" t="s">
        <v>2178</v>
      </c>
      <c r="Y856" s="1" t="str">
        <f>"419166048"</f>
        <v>419166048</v>
      </c>
    </row>
    <row r="857" spans="1:25" x14ac:dyDescent="0.2">
      <c r="A857" s="9" t="s">
        <v>580</v>
      </c>
      <c r="B857" s="10">
        <v>42781</v>
      </c>
      <c r="C857" s="9" t="s">
        <v>581</v>
      </c>
      <c r="D857" s="9" t="s">
        <v>26</v>
      </c>
      <c r="E857" s="9" t="s">
        <v>2190</v>
      </c>
      <c r="F857" s="9">
        <v>100000</v>
      </c>
      <c r="G857" s="8">
        <v>8777</v>
      </c>
      <c r="H857" s="4">
        <f t="shared" si="522"/>
        <v>0</v>
      </c>
      <c r="I857" s="4">
        <f t="shared" si="523"/>
        <v>0</v>
      </c>
      <c r="J857" s="4">
        <f t="shared" si="524"/>
        <v>0</v>
      </c>
      <c r="K857" s="4">
        <f t="shared" si="525"/>
        <v>8777</v>
      </c>
      <c r="L857" s="4">
        <f t="shared" si="526"/>
        <v>0</v>
      </c>
      <c r="M857" s="4">
        <f t="shared" si="527"/>
        <v>0</v>
      </c>
      <c r="N857" s="4">
        <f t="shared" si="528"/>
        <v>8777</v>
      </c>
      <c r="O857" s="5">
        <f t="shared" si="529"/>
        <v>74</v>
      </c>
      <c r="P857" s="6" t="str">
        <f t="shared" si="530"/>
        <v>61 To 90 Days</v>
      </c>
      <c r="Q857" s="7">
        <v>42855</v>
      </c>
      <c r="R857" s="6" t="s">
        <v>2178</v>
      </c>
      <c r="V857" s="1" t="s">
        <v>13</v>
      </c>
      <c r="W857" s="2">
        <v>42781</v>
      </c>
      <c r="X857" s="1" t="s">
        <v>14</v>
      </c>
      <c r="Y857" s="1" t="str">
        <f>"419165351"</f>
        <v>419165351</v>
      </c>
    </row>
    <row r="858" spans="1:25" x14ac:dyDescent="0.2">
      <c r="A858" s="9" t="s">
        <v>526</v>
      </c>
      <c r="B858" s="10">
        <v>42776</v>
      </c>
      <c r="C858" s="9" t="s">
        <v>527</v>
      </c>
      <c r="D858" s="9" t="s">
        <v>133</v>
      </c>
      <c r="E858" s="9" t="s">
        <v>2190</v>
      </c>
      <c r="F858" s="9">
        <v>20000000</v>
      </c>
      <c r="G858" s="8">
        <v>8797</v>
      </c>
      <c r="H858" s="4">
        <f t="shared" si="522"/>
        <v>0</v>
      </c>
      <c r="I858" s="4">
        <f t="shared" si="523"/>
        <v>0</v>
      </c>
      <c r="J858" s="4">
        <f t="shared" si="524"/>
        <v>0</v>
      </c>
      <c r="K858" s="4">
        <f t="shared" si="525"/>
        <v>8797</v>
      </c>
      <c r="L858" s="4">
        <f t="shared" si="526"/>
        <v>0</v>
      </c>
      <c r="M858" s="4">
        <f t="shared" si="527"/>
        <v>0</v>
      </c>
      <c r="N858" s="4">
        <f t="shared" si="528"/>
        <v>8797</v>
      </c>
      <c r="O858" s="5">
        <f t="shared" si="529"/>
        <v>79</v>
      </c>
      <c r="P858" s="6" t="str">
        <f t="shared" si="530"/>
        <v>61 To 90 Days</v>
      </c>
      <c r="Q858" s="7">
        <v>42855</v>
      </c>
      <c r="R858" s="6" t="s">
        <v>2178</v>
      </c>
      <c r="V858" s="1" t="s">
        <v>13</v>
      </c>
      <c r="W858" s="2">
        <v>42776</v>
      </c>
      <c r="X858" s="1" t="s">
        <v>14</v>
      </c>
      <c r="Y858" s="1" t="s">
        <v>528</v>
      </c>
    </row>
    <row r="859" spans="1:25" x14ac:dyDescent="0.2">
      <c r="A859" s="9" t="s">
        <v>1994</v>
      </c>
      <c r="B859" s="10">
        <v>42836</v>
      </c>
      <c r="C859" s="9" t="s">
        <v>1995</v>
      </c>
      <c r="D859" s="9" t="s">
        <v>17</v>
      </c>
      <c r="E859" s="9" t="s">
        <v>2190</v>
      </c>
      <c r="F859" s="9">
        <v>500000</v>
      </c>
      <c r="G859" s="8">
        <v>8817</v>
      </c>
      <c r="H859" s="4">
        <f t="shared" si="522"/>
        <v>8817</v>
      </c>
      <c r="I859" s="4">
        <f t="shared" si="523"/>
        <v>0</v>
      </c>
      <c r="J859" s="4">
        <f t="shared" si="524"/>
        <v>0</v>
      </c>
      <c r="K859" s="4">
        <f t="shared" si="525"/>
        <v>0</v>
      </c>
      <c r="L859" s="4">
        <f t="shared" si="526"/>
        <v>0</v>
      </c>
      <c r="M859" s="4">
        <f t="shared" si="527"/>
        <v>0</v>
      </c>
      <c r="N859" s="4">
        <f t="shared" si="528"/>
        <v>0</v>
      </c>
      <c r="O859" s="5">
        <f t="shared" si="529"/>
        <v>19</v>
      </c>
      <c r="P859" s="6" t="str">
        <f t="shared" si="530"/>
        <v>30 Days</v>
      </c>
      <c r="Q859" s="7">
        <v>42855</v>
      </c>
      <c r="R859" s="6" t="str">
        <f>VLOOKUP(A859:A5567,[1]BOM_INV_OPERATOR_DETAILS_OUTPUT!$A$2:$D$1233,4,FALSE)</f>
        <v>AI</v>
      </c>
      <c r="Y859" s="1" t="str">
        <f>"4560219376"</f>
        <v>4560219376</v>
      </c>
    </row>
    <row r="860" spans="1:25" x14ac:dyDescent="0.2">
      <c r="A860" s="9" t="s">
        <v>1998</v>
      </c>
      <c r="B860" s="10">
        <v>42836</v>
      </c>
      <c r="C860" s="9" t="s">
        <v>1999</v>
      </c>
      <c r="D860" s="9" t="s">
        <v>17</v>
      </c>
      <c r="E860" s="9" t="s">
        <v>2190</v>
      </c>
      <c r="F860" s="9">
        <v>500000</v>
      </c>
      <c r="G860" s="8">
        <v>8817</v>
      </c>
      <c r="H860" s="4">
        <f t="shared" si="522"/>
        <v>8817</v>
      </c>
      <c r="I860" s="4">
        <f t="shared" si="523"/>
        <v>0</v>
      </c>
      <c r="J860" s="4">
        <f t="shared" si="524"/>
        <v>0</v>
      </c>
      <c r="K860" s="4">
        <f t="shared" si="525"/>
        <v>0</v>
      </c>
      <c r="L860" s="4">
        <f t="shared" si="526"/>
        <v>0</v>
      </c>
      <c r="M860" s="4">
        <f t="shared" si="527"/>
        <v>0</v>
      </c>
      <c r="N860" s="4">
        <f t="shared" si="528"/>
        <v>0</v>
      </c>
      <c r="O860" s="5">
        <f t="shared" si="529"/>
        <v>19</v>
      </c>
      <c r="P860" s="6" t="str">
        <f t="shared" si="530"/>
        <v>30 Days</v>
      </c>
      <c r="Q860" s="7">
        <v>42855</v>
      </c>
      <c r="R860" s="6" t="str">
        <f>VLOOKUP(A860:A5568,[1]BOM_INV_OPERATOR_DETAILS_OUTPUT!$A$2:$D$1233,4,FALSE)</f>
        <v>AI</v>
      </c>
      <c r="Y860" s="1" t="str">
        <f>"4560219382"</f>
        <v>4560219382</v>
      </c>
    </row>
    <row r="861" spans="1:25" x14ac:dyDescent="0.2">
      <c r="A861" s="9" t="s">
        <v>971</v>
      </c>
      <c r="B861" s="10">
        <v>42804</v>
      </c>
      <c r="C861" s="9" t="s">
        <v>972</v>
      </c>
      <c r="D861" s="9" t="s">
        <v>30</v>
      </c>
      <c r="E861" s="9" t="s">
        <v>2190</v>
      </c>
      <c r="F861" s="9">
        <v>700000</v>
      </c>
      <c r="G861" s="8">
        <v>8827</v>
      </c>
      <c r="H861" s="4">
        <f t="shared" si="522"/>
        <v>0</v>
      </c>
      <c r="I861" s="4">
        <f t="shared" si="523"/>
        <v>0</v>
      </c>
      <c r="J861" s="4">
        <f t="shared" si="524"/>
        <v>8827</v>
      </c>
      <c r="K861" s="4">
        <f t="shared" si="525"/>
        <v>0</v>
      </c>
      <c r="L861" s="4">
        <f t="shared" si="526"/>
        <v>0</v>
      </c>
      <c r="M861" s="4">
        <f t="shared" si="527"/>
        <v>0</v>
      </c>
      <c r="N861" s="4">
        <f t="shared" si="528"/>
        <v>0</v>
      </c>
      <c r="O861" s="5">
        <f t="shared" si="529"/>
        <v>51</v>
      </c>
      <c r="P861" s="6" t="str">
        <f t="shared" si="530"/>
        <v>46 To 60 Days</v>
      </c>
      <c r="Q861" s="7">
        <v>42855</v>
      </c>
      <c r="R861" s="6" t="s">
        <v>2178</v>
      </c>
      <c r="Y861" s="1" t="str">
        <f>"4520086122"</f>
        <v>4520086122</v>
      </c>
    </row>
    <row r="862" spans="1:25" x14ac:dyDescent="0.2">
      <c r="A862" s="9" t="s">
        <v>2093</v>
      </c>
      <c r="B862" s="10">
        <v>42838</v>
      </c>
      <c r="C862" s="9" t="s">
        <v>2094</v>
      </c>
      <c r="D862" s="9" t="s">
        <v>134</v>
      </c>
      <c r="E862" s="9" t="s">
        <v>2190</v>
      </c>
      <c r="F862" s="9">
        <v>0</v>
      </c>
      <c r="G862" s="8">
        <v>8831</v>
      </c>
      <c r="H862" s="4">
        <f t="shared" si="522"/>
        <v>8831</v>
      </c>
      <c r="I862" s="4">
        <f t="shared" si="523"/>
        <v>0</v>
      </c>
      <c r="J862" s="4">
        <f t="shared" si="524"/>
        <v>0</v>
      </c>
      <c r="K862" s="4">
        <f t="shared" si="525"/>
        <v>0</v>
      </c>
      <c r="L862" s="4">
        <f t="shared" si="526"/>
        <v>0</v>
      </c>
      <c r="M862" s="4">
        <f t="shared" si="527"/>
        <v>0</v>
      </c>
      <c r="N862" s="4">
        <f t="shared" si="528"/>
        <v>0</v>
      </c>
      <c r="O862" s="5">
        <f t="shared" si="529"/>
        <v>17</v>
      </c>
      <c r="P862" s="6" t="str">
        <f t="shared" si="530"/>
        <v>30 Days</v>
      </c>
      <c r="Q862" s="7">
        <v>42855</v>
      </c>
      <c r="R862" s="6" t="str">
        <f>VLOOKUP(A862:A5574,[1]BOM_INV_OPERATOR_DETAILS_OUTPUT!$A$2:$D$1233,4,FALSE)</f>
        <v>AI</v>
      </c>
      <c r="Y862" s="1" t="str">
        <f>"4340042510"</f>
        <v>4340042510</v>
      </c>
    </row>
    <row r="863" spans="1:25" x14ac:dyDescent="0.2">
      <c r="A863" s="9" t="s">
        <v>1344</v>
      </c>
      <c r="B863" s="10">
        <v>42821</v>
      </c>
      <c r="C863" s="9" t="s">
        <v>1345</v>
      </c>
      <c r="D863" s="9" t="s">
        <v>158</v>
      </c>
      <c r="E863" s="9" t="s">
        <v>2190</v>
      </c>
      <c r="F863" s="9">
        <v>0</v>
      </c>
      <c r="G863" s="8">
        <v>8841</v>
      </c>
      <c r="H863" s="4">
        <f t="shared" si="522"/>
        <v>0</v>
      </c>
      <c r="I863" s="4">
        <f t="shared" si="523"/>
        <v>8841</v>
      </c>
      <c r="J863" s="4">
        <f t="shared" si="524"/>
        <v>0</v>
      </c>
      <c r="K863" s="4">
        <f t="shared" si="525"/>
        <v>0</v>
      </c>
      <c r="L863" s="4">
        <f t="shared" si="526"/>
        <v>0</v>
      </c>
      <c r="M863" s="4">
        <f t="shared" si="527"/>
        <v>0</v>
      </c>
      <c r="N863" s="4">
        <f t="shared" si="528"/>
        <v>0</v>
      </c>
      <c r="O863" s="5">
        <f t="shared" si="529"/>
        <v>34</v>
      </c>
      <c r="P863" s="6" t="str">
        <f t="shared" si="530"/>
        <v>31 TO 45 Days</v>
      </c>
      <c r="Q863" s="7">
        <v>42855</v>
      </c>
      <c r="R863" s="6" t="s">
        <v>2178</v>
      </c>
      <c r="Y863" s="1" t="s">
        <v>1346</v>
      </c>
    </row>
    <row r="864" spans="1:25" x14ac:dyDescent="0.2">
      <c r="A864" s="9" t="s">
        <v>1009</v>
      </c>
      <c r="B864" s="10">
        <v>42809</v>
      </c>
      <c r="C864" s="9" t="s">
        <v>1010</v>
      </c>
      <c r="D864" s="9" t="s">
        <v>20</v>
      </c>
      <c r="E864" s="9" t="s">
        <v>2190</v>
      </c>
      <c r="F864" s="9">
        <v>1000000</v>
      </c>
      <c r="G864" s="8">
        <v>8842</v>
      </c>
      <c r="H864" s="4">
        <f t="shared" si="522"/>
        <v>0</v>
      </c>
      <c r="I864" s="4">
        <f t="shared" si="523"/>
        <v>0</v>
      </c>
      <c r="J864" s="4">
        <f t="shared" si="524"/>
        <v>8842</v>
      </c>
      <c r="K864" s="4">
        <f t="shared" si="525"/>
        <v>0</v>
      </c>
      <c r="L864" s="4">
        <f t="shared" si="526"/>
        <v>0</v>
      </c>
      <c r="M864" s="4">
        <f t="shared" si="527"/>
        <v>0</v>
      </c>
      <c r="N864" s="4">
        <f t="shared" si="528"/>
        <v>0</v>
      </c>
      <c r="O864" s="5">
        <f t="shared" si="529"/>
        <v>46</v>
      </c>
      <c r="P864" s="6" t="str">
        <f t="shared" si="530"/>
        <v>46 To 60 Days</v>
      </c>
      <c r="Q864" s="7">
        <v>42855</v>
      </c>
      <c r="R864" s="6" t="s">
        <v>2178</v>
      </c>
      <c r="Y864" s="1" t="str">
        <f>"4052206221"</f>
        <v>4052206221</v>
      </c>
    </row>
    <row r="865" spans="1:25" x14ac:dyDescent="0.2">
      <c r="A865" s="9" t="s">
        <v>915</v>
      </c>
      <c r="B865" s="10">
        <v>42800</v>
      </c>
      <c r="C865" s="9" t="s">
        <v>916</v>
      </c>
      <c r="D865" s="9" t="s">
        <v>164</v>
      </c>
      <c r="E865" s="9" t="s">
        <v>2190</v>
      </c>
      <c r="F865" s="9">
        <v>0</v>
      </c>
      <c r="G865" s="8">
        <v>8852</v>
      </c>
      <c r="H865" s="4">
        <f t="shared" si="522"/>
        <v>0</v>
      </c>
      <c r="I865" s="4">
        <f t="shared" si="523"/>
        <v>0</v>
      </c>
      <c r="J865" s="4">
        <f t="shared" si="524"/>
        <v>8852</v>
      </c>
      <c r="K865" s="4">
        <f t="shared" si="525"/>
        <v>0</v>
      </c>
      <c r="L865" s="4">
        <f t="shared" si="526"/>
        <v>0</v>
      </c>
      <c r="M865" s="4">
        <f t="shared" si="527"/>
        <v>0</v>
      </c>
      <c r="N865" s="4">
        <f t="shared" si="528"/>
        <v>0</v>
      </c>
      <c r="O865" s="5">
        <f t="shared" si="529"/>
        <v>55</v>
      </c>
      <c r="P865" s="6" t="str">
        <f t="shared" si="530"/>
        <v>46 To 60 Days</v>
      </c>
      <c r="Q865" s="7">
        <v>42855</v>
      </c>
      <c r="R865" s="6" t="s">
        <v>2178</v>
      </c>
      <c r="Y865" s="1" t="str">
        <f>"4711233637"</f>
        <v>4711233637</v>
      </c>
    </row>
    <row r="866" spans="1:25" x14ac:dyDescent="0.2">
      <c r="A866" s="9" t="s">
        <v>18</v>
      </c>
      <c r="B866" s="10">
        <v>42840</v>
      </c>
      <c r="C866" s="9" t="s">
        <v>19</v>
      </c>
      <c r="D866" s="9" t="s">
        <v>17</v>
      </c>
      <c r="E866" s="9" t="s">
        <v>2190</v>
      </c>
      <c r="F866" s="9">
        <v>500000</v>
      </c>
      <c r="G866" s="8">
        <v>8853</v>
      </c>
      <c r="H866" s="4">
        <f t="shared" si="522"/>
        <v>8853</v>
      </c>
      <c r="I866" s="4">
        <f t="shared" si="523"/>
        <v>0</v>
      </c>
      <c r="J866" s="4">
        <f t="shared" si="524"/>
        <v>0</v>
      </c>
      <c r="K866" s="4">
        <f t="shared" si="525"/>
        <v>0</v>
      </c>
      <c r="L866" s="4">
        <f t="shared" si="526"/>
        <v>0</v>
      </c>
      <c r="M866" s="4">
        <f t="shared" si="527"/>
        <v>0</v>
      </c>
      <c r="N866" s="4">
        <f t="shared" si="528"/>
        <v>0</v>
      </c>
      <c r="O866" s="5">
        <f t="shared" si="529"/>
        <v>15</v>
      </c>
      <c r="P866" s="6" t="str">
        <f t="shared" si="530"/>
        <v>30 Days</v>
      </c>
      <c r="Q866" s="7">
        <v>42855</v>
      </c>
      <c r="R866" s="6" t="str">
        <f>VLOOKUP(A866:A5582,[1]BOM_INV_OPERATOR_DETAILS_OUTPUT!$A$2:$D$1233,4,FALSE)</f>
        <v>AI</v>
      </c>
      <c r="Y866" s="1" t="str">
        <f>"4560219433"</f>
        <v>4560219433</v>
      </c>
    </row>
    <row r="867" spans="1:25" x14ac:dyDescent="0.2">
      <c r="A867" s="9" t="s">
        <v>800</v>
      </c>
      <c r="B867" s="10">
        <v>42794</v>
      </c>
      <c r="C867" s="9" t="s">
        <v>801</v>
      </c>
      <c r="D867" s="9" t="s">
        <v>164</v>
      </c>
      <c r="E867" s="9" t="s">
        <v>2190</v>
      </c>
      <c r="F867" s="9">
        <v>0</v>
      </c>
      <c r="G867" s="8">
        <v>8856</v>
      </c>
      <c r="H867" s="4">
        <f t="shared" ref="H867:H882" si="531">IF(O867&lt;=30,G867,0)</f>
        <v>0</v>
      </c>
      <c r="I867" s="4">
        <f t="shared" ref="I867:I882" si="532">IF(AND(O867&gt;30,O867&lt;=45),G867,0)</f>
        <v>0</v>
      </c>
      <c r="J867" s="4">
        <f t="shared" ref="J867:J882" si="533">IF(AND(O867&gt;45,O867&lt;=60),G867,0)</f>
        <v>0</v>
      </c>
      <c r="K867" s="4">
        <f t="shared" ref="K867:K882" si="534">IF(AND(O867&gt;60,O867&lt;=90),G867,0)</f>
        <v>8856</v>
      </c>
      <c r="L867" s="4">
        <f t="shared" ref="L867:L882" si="535">IF(AND(O867&gt;90,O867&lt;=120),G867,0)</f>
        <v>0</v>
      </c>
      <c r="M867" s="4">
        <f t="shared" ref="M867:M882" si="536">IF(O867&gt;120,G867,0)</f>
        <v>0</v>
      </c>
      <c r="N867" s="4">
        <f t="shared" ref="N867:N882" si="537">IF(O867&gt;60,G867,0)</f>
        <v>8856</v>
      </c>
      <c r="O867" s="5">
        <f t="shared" ref="O867:O882" si="538">Q867-B867</f>
        <v>61</v>
      </c>
      <c r="P867" s="6" t="str">
        <f t="shared" ref="P867:P882" si="539">IF(AND(O867&lt;=30),"30 Days",IF(AND(O867&gt;30,O867&lt;=45),"31 TO 45 Days",IF(AND(O867&gt;45,O867&lt;=60),"46 To 60 Days",IF(AND(O867&gt;60,O867&lt;=90),"61 To 90 Days",IF(AND(O867&gt;90,O867&lt;=120),"91 To 120 Days",IF(AND(O867&gt;120),"Plus120Days",))))))</f>
        <v>61 To 90 Days</v>
      </c>
      <c r="Q867" s="7">
        <v>42855</v>
      </c>
      <c r="R867" s="6" t="s">
        <v>2178</v>
      </c>
      <c r="Y867" s="1" t="str">
        <f>"4711231641"</f>
        <v>4711231641</v>
      </c>
    </row>
    <row r="868" spans="1:25" x14ac:dyDescent="0.2">
      <c r="A868" s="9" t="s">
        <v>1926</v>
      </c>
      <c r="B868" s="10">
        <v>42835</v>
      </c>
      <c r="C868" s="9" t="s">
        <v>1927</v>
      </c>
      <c r="D868" s="9" t="s">
        <v>38</v>
      </c>
      <c r="E868" s="9" t="s">
        <v>2190</v>
      </c>
      <c r="F868" s="9">
        <v>700000</v>
      </c>
      <c r="G868" s="8">
        <v>8865</v>
      </c>
      <c r="H868" s="4">
        <f t="shared" si="531"/>
        <v>8865</v>
      </c>
      <c r="I868" s="4">
        <f t="shared" si="532"/>
        <v>0</v>
      </c>
      <c r="J868" s="4">
        <f t="shared" si="533"/>
        <v>0</v>
      </c>
      <c r="K868" s="4">
        <f t="shared" si="534"/>
        <v>0</v>
      </c>
      <c r="L868" s="4">
        <f t="shared" si="535"/>
        <v>0</v>
      </c>
      <c r="M868" s="4">
        <f t="shared" si="536"/>
        <v>0</v>
      </c>
      <c r="N868" s="4">
        <f t="shared" si="537"/>
        <v>0</v>
      </c>
      <c r="O868" s="5">
        <f t="shared" si="538"/>
        <v>20</v>
      </c>
      <c r="P868" s="6" t="str">
        <f t="shared" si="539"/>
        <v>30 Days</v>
      </c>
      <c r="Q868" s="7">
        <v>42855</v>
      </c>
      <c r="R868" s="6" t="str">
        <f>VLOOKUP(A868:A5589,[1]BOM_INV_OPERATOR_DETAILS_OUTPUT!$A$2:$D$1233,4,FALSE)</f>
        <v>AI</v>
      </c>
      <c r="Y868" s="1" t="str">
        <f>"417268298"</f>
        <v>417268298</v>
      </c>
    </row>
    <row r="869" spans="1:25" x14ac:dyDescent="0.2">
      <c r="A869" s="9" t="s">
        <v>1700</v>
      </c>
      <c r="B869" s="10">
        <v>42830</v>
      </c>
      <c r="C869" s="9" t="s">
        <v>1701</v>
      </c>
      <c r="D869" s="9" t="s">
        <v>492</v>
      </c>
      <c r="E869" s="9" t="s">
        <v>2190</v>
      </c>
      <c r="F869" s="9">
        <v>500000</v>
      </c>
      <c r="G869" s="8">
        <v>8866</v>
      </c>
      <c r="H869" s="4">
        <f t="shared" si="531"/>
        <v>8866</v>
      </c>
      <c r="I869" s="4">
        <f t="shared" si="532"/>
        <v>0</v>
      </c>
      <c r="J869" s="4">
        <f t="shared" si="533"/>
        <v>0</v>
      </c>
      <c r="K869" s="4">
        <f t="shared" si="534"/>
        <v>0</v>
      </c>
      <c r="L869" s="4">
        <f t="shared" si="535"/>
        <v>0</v>
      </c>
      <c r="M869" s="4">
        <f t="shared" si="536"/>
        <v>0</v>
      </c>
      <c r="N869" s="4">
        <f t="shared" si="537"/>
        <v>0</v>
      </c>
      <c r="O869" s="5">
        <f t="shared" si="538"/>
        <v>25</v>
      </c>
      <c r="P869" s="6" t="str">
        <f t="shared" si="539"/>
        <v>30 Days</v>
      </c>
      <c r="Q869" s="7">
        <v>42855</v>
      </c>
      <c r="R869" s="6" t="s">
        <v>2178</v>
      </c>
      <c r="Y869" s="1" t="str">
        <f>"4570271037"</f>
        <v>4570271037</v>
      </c>
    </row>
    <row r="870" spans="1:25" x14ac:dyDescent="0.2">
      <c r="A870" s="9" t="s">
        <v>1111</v>
      </c>
      <c r="B870" s="10">
        <v>42814</v>
      </c>
      <c r="C870" s="9" t="s">
        <v>1112</v>
      </c>
      <c r="D870" s="9" t="s">
        <v>148</v>
      </c>
      <c r="E870" s="9" t="s">
        <v>2190</v>
      </c>
      <c r="F870" s="9">
        <v>500000</v>
      </c>
      <c r="G870" s="8">
        <v>8884</v>
      </c>
      <c r="H870" s="4">
        <f t="shared" si="531"/>
        <v>0</v>
      </c>
      <c r="I870" s="4">
        <f t="shared" si="532"/>
        <v>8884</v>
      </c>
      <c r="J870" s="4">
        <f t="shared" si="533"/>
        <v>0</v>
      </c>
      <c r="K870" s="4">
        <f t="shared" si="534"/>
        <v>0</v>
      </c>
      <c r="L870" s="4">
        <f t="shared" si="535"/>
        <v>0</v>
      </c>
      <c r="M870" s="4">
        <f t="shared" si="536"/>
        <v>0</v>
      </c>
      <c r="N870" s="4">
        <f t="shared" si="537"/>
        <v>0</v>
      </c>
      <c r="O870" s="5">
        <f t="shared" si="538"/>
        <v>41</v>
      </c>
      <c r="P870" s="6" t="str">
        <f t="shared" si="539"/>
        <v>31 TO 45 Days</v>
      </c>
      <c r="Q870" s="7">
        <v>42855</v>
      </c>
      <c r="R870" s="6" t="s">
        <v>2178</v>
      </c>
      <c r="Y870" s="1" t="str">
        <f>"4750387808"</f>
        <v>4750387808</v>
      </c>
    </row>
    <row r="871" spans="1:25" x14ac:dyDescent="0.2">
      <c r="A871" s="9" t="s">
        <v>1221</v>
      </c>
      <c r="B871" s="10">
        <v>42816</v>
      </c>
      <c r="C871" s="9" t="s">
        <v>1222</v>
      </c>
      <c r="D871" s="9" t="s">
        <v>164</v>
      </c>
      <c r="E871" s="9" t="s">
        <v>2190</v>
      </c>
      <c r="F871" s="9">
        <v>0</v>
      </c>
      <c r="G871" s="8">
        <v>8887</v>
      </c>
      <c r="H871" s="4">
        <f t="shared" si="531"/>
        <v>0</v>
      </c>
      <c r="I871" s="4">
        <f t="shared" si="532"/>
        <v>8887</v>
      </c>
      <c r="J871" s="4">
        <f t="shared" si="533"/>
        <v>0</v>
      </c>
      <c r="K871" s="4">
        <f t="shared" si="534"/>
        <v>0</v>
      </c>
      <c r="L871" s="4">
        <f t="shared" si="535"/>
        <v>0</v>
      </c>
      <c r="M871" s="4">
        <f t="shared" si="536"/>
        <v>0</v>
      </c>
      <c r="N871" s="4">
        <f t="shared" si="537"/>
        <v>0</v>
      </c>
      <c r="O871" s="5">
        <f t="shared" si="538"/>
        <v>39</v>
      </c>
      <c r="P871" s="6" t="str">
        <f t="shared" si="539"/>
        <v>31 TO 45 Days</v>
      </c>
      <c r="Q871" s="7">
        <v>42855</v>
      </c>
      <c r="R871" s="6" t="s">
        <v>2178</v>
      </c>
      <c r="Y871" s="1" t="str">
        <f>"4711238338"</f>
        <v>4711238338</v>
      </c>
    </row>
    <row r="872" spans="1:25" x14ac:dyDescent="0.2">
      <c r="A872" s="9" t="s">
        <v>443</v>
      </c>
      <c r="B872" s="10">
        <v>42767</v>
      </c>
      <c r="C872" s="9" t="s">
        <v>444</v>
      </c>
      <c r="D872" s="9" t="s">
        <v>241</v>
      </c>
      <c r="E872" s="9" t="s">
        <v>2190</v>
      </c>
      <c r="F872" s="9">
        <v>75000</v>
      </c>
      <c r="G872" s="8">
        <v>8892</v>
      </c>
      <c r="H872" s="4">
        <f t="shared" si="531"/>
        <v>0</v>
      </c>
      <c r="I872" s="4">
        <f t="shared" si="532"/>
        <v>0</v>
      </c>
      <c r="J872" s="4">
        <f t="shared" si="533"/>
        <v>0</v>
      </c>
      <c r="K872" s="4">
        <f t="shared" si="534"/>
        <v>8892</v>
      </c>
      <c r="L872" s="4">
        <f t="shared" si="535"/>
        <v>0</v>
      </c>
      <c r="M872" s="4">
        <f t="shared" si="536"/>
        <v>0</v>
      </c>
      <c r="N872" s="4">
        <f t="shared" si="537"/>
        <v>8892</v>
      </c>
      <c r="O872" s="5">
        <f t="shared" si="538"/>
        <v>88</v>
      </c>
      <c r="P872" s="6" t="str">
        <f t="shared" si="539"/>
        <v>61 To 90 Days</v>
      </c>
      <c r="Q872" s="7">
        <v>42855</v>
      </c>
      <c r="R872" s="6" t="s">
        <v>2178</v>
      </c>
      <c r="Y872" s="1" t="str">
        <f>"4850056085"</f>
        <v>4850056085</v>
      </c>
    </row>
    <row r="873" spans="1:25" x14ac:dyDescent="0.2">
      <c r="A873" s="9" t="s">
        <v>1842</v>
      </c>
      <c r="B873" s="10">
        <v>42835</v>
      </c>
      <c r="C873" s="9" t="s">
        <v>1843</v>
      </c>
      <c r="D873" s="9" t="s">
        <v>629</v>
      </c>
      <c r="E873" s="9" t="s">
        <v>2190</v>
      </c>
      <c r="F873" s="9">
        <v>2000000</v>
      </c>
      <c r="G873" s="8">
        <v>8893</v>
      </c>
      <c r="H873" s="4">
        <f t="shared" si="531"/>
        <v>8893</v>
      </c>
      <c r="I873" s="4">
        <f t="shared" si="532"/>
        <v>0</v>
      </c>
      <c r="J873" s="4">
        <f t="shared" si="533"/>
        <v>0</v>
      </c>
      <c r="K873" s="4">
        <f t="shared" si="534"/>
        <v>0</v>
      </c>
      <c r="L873" s="4">
        <f t="shared" si="535"/>
        <v>0</v>
      </c>
      <c r="M873" s="4">
        <f t="shared" si="536"/>
        <v>0</v>
      </c>
      <c r="N873" s="4">
        <f t="shared" si="537"/>
        <v>0</v>
      </c>
      <c r="O873" s="5">
        <f t="shared" si="538"/>
        <v>20</v>
      </c>
      <c r="P873" s="6" t="str">
        <f t="shared" si="539"/>
        <v>30 Days</v>
      </c>
      <c r="Q873" s="7">
        <v>42855</v>
      </c>
      <c r="R873" s="6" t="str">
        <f>VLOOKUP(A873:A5602,[1]BOM_INV_OPERATOR_DETAILS_OUTPUT!$A$2:$D$1233,4,FALSE)</f>
        <v>AI</v>
      </c>
      <c r="Y873" s="1" t="str">
        <f>"4200122053"</f>
        <v>4200122053</v>
      </c>
    </row>
    <row r="874" spans="1:25" x14ac:dyDescent="0.2">
      <c r="A874" s="9" t="s">
        <v>385</v>
      </c>
      <c r="B874" s="10">
        <v>42760</v>
      </c>
      <c r="C874" s="9" t="s">
        <v>386</v>
      </c>
      <c r="D874" s="9" t="s">
        <v>133</v>
      </c>
      <c r="E874" s="9" t="s">
        <v>2190</v>
      </c>
      <c r="F874" s="9">
        <v>20000000</v>
      </c>
      <c r="G874" s="8">
        <v>8902</v>
      </c>
      <c r="H874" s="4">
        <f t="shared" si="531"/>
        <v>0</v>
      </c>
      <c r="I874" s="4">
        <f t="shared" si="532"/>
        <v>0</v>
      </c>
      <c r="J874" s="4">
        <f t="shared" si="533"/>
        <v>0</v>
      </c>
      <c r="K874" s="4">
        <f t="shared" si="534"/>
        <v>0</v>
      </c>
      <c r="L874" s="4">
        <f t="shared" si="535"/>
        <v>8902</v>
      </c>
      <c r="M874" s="4">
        <f t="shared" si="536"/>
        <v>0</v>
      </c>
      <c r="N874" s="4">
        <f t="shared" si="537"/>
        <v>8902</v>
      </c>
      <c r="O874" s="5">
        <f t="shared" si="538"/>
        <v>95</v>
      </c>
      <c r="P874" s="6" t="str">
        <f t="shared" si="539"/>
        <v>91 To 120 Days</v>
      </c>
      <c r="Q874" s="7">
        <v>42855</v>
      </c>
      <c r="R874" s="6" t="s">
        <v>2178</v>
      </c>
      <c r="V874" s="1" t="s">
        <v>13</v>
      </c>
      <c r="W874" s="2">
        <v>42760</v>
      </c>
      <c r="X874" s="1" t="s">
        <v>14</v>
      </c>
      <c r="Y874" s="1" t="str">
        <f>"4400187112"</f>
        <v>4400187112</v>
      </c>
    </row>
    <row r="875" spans="1:25" x14ac:dyDescent="0.2">
      <c r="A875" s="9" t="s">
        <v>785</v>
      </c>
      <c r="B875" s="10">
        <v>42794</v>
      </c>
      <c r="C875" s="9" t="s">
        <v>786</v>
      </c>
      <c r="D875" s="9" t="s">
        <v>133</v>
      </c>
      <c r="E875" s="9" t="s">
        <v>2190</v>
      </c>
      <c r="F875" s="9">
        <v>20000000</v>
      </c>
      <c r="G875" s="8">
        <v>8906</v>
      </c>
      <c r="H875" s="4">
        <f t="shared" si="531"/>
        <v>0</v>
      </c>
      <c r="I875" s="4">
        <f t="shared" si="532"/>
        <v>0</v>
      </c>
      <c r="J875" s="4">
        <f t="shared" si="533"/>
        <v>0</v>
      </c>
      <c r="K875" s="4">
        <f t="shared" si="534"/>
        <v>8906</v>
      </c>
      <c r="L875" s="4">
        <f t="shared" si="535"/>
        <v>0</v>
      </c>
      <c r="M875" s="4">
        <f t="shared" si="536"/>
        <v>0</v>
      </c>
      <c r="N875" s="4">
        <f t="shared" si="537"/>
        <v>8906</v>
      </c>
      <c r="O875" s="5">
        <f t="shared" si="538"/>
        <v>61</v>
      </c>
      <c r="P875" s="6" t="str">
        <f t="shared" si="539"/>
        <v>61 To 90 Days</v>
      </c>
      <c r="Q875" s="7">
        <v>42855</v>
      </c>
      <c r="R875" s="6" t="s">
        <v>2178</v>
      </c>
      <c r="V875" s="1" t="s">
        <v>13</v>
      </c>
      <c r="W875" s="2">
        <v>42796</v>
      </c>
      <c r="X875" s="1" t="s">
        <v>14</v>
      </c>
      <c r="Y875" s="1" t="str">
        <f>"4750387242"</f>
        <v>4750387242</v>
      </c>
    </row>
    <row r="876" spans="1:25" x14ac:dyDescent="0.2">
      <c r="A876" s="9" t="s">
        <v>510</v>
      </c>
      <c r="B876" s="10">
        <v>42774</v>
      </c>
      <c r="C876" s="9" t="s">
        <v>511</v>
      </c>
      <c r="D876" s="9" t="s">
        <v>270</v>
      </c>
      <c r="E876" s="9" t="s">
        <v>2190</v>
      </c>
      <c r="F876" s="9">
        <v>0</v>
      </c>
      <c r="G876" s="8">
        <v>8911</v>
      </c>
      <c r="H876" s="4">
        <f t="shared" si="531"/>
        <v>0</v>
      </c>
      <c r="I876" s="4">
        <f t="shared" si="532"/>
        <v>0</v>
      </c>
      <c r="J876" s="4">
        <f t="shared" si="533"/>
        <v>0</v>
      </c>
      <c r="K876" s="4">
        <f t="shared" si="534"/>
        <v>8911</v>
      </c>
      <c r="L876" s="4">
        <f t="shared" si="535"/>
        <v>0</v>
      </c>
      <c r="M876" s="4">
        <f t="shared" si="536"/>
        <v>0</v>
      </c>
      <c r="N876" s="4">
        <f t="shared" si="537"/>
        <v>8911</v>
      </c>
      <c r="O876" s="5">
        <f t="shared" si="538"/>
        <v>81</v>
      </c>
      <c r="P876" s="6" t="str">
        <f t="shared" si="539"/>
        <v>61 To 90 Days</v>
      </c>
      <c r="Q876" s="7">
        <v>42855</v>
      </c>
      <c r="R876" s="6" t="s">
        <v>2178</v>
      </c>
      <c r="Y876" s="1" t="str">
        <f>"4570268004"</f>
        <v>4570268004</v>
      </c>
    </row>
    <row r="877" spans="1:25" x14ac:dyDescent="0.2">
      <c r="A877" s="9" t="s">
        <v>1505</v>
      </c>
      <c r="B877" s="10">
        <v>42824</v>
      </c>
      <c r="C877" s="9" t="s">
        <v>1506</v>
      </c>
      <c r="D877" s="9" t="s">
        <v>142</v>
      </c>
      <c r="E877" s="9" t="s">
        <v>2190</v>
      </c>
      <c r="F877" s="9">
        <v>1540000</v>
      </c>
      <c r="G877" s="8">
        <v>8925</v>
      </c>
      <c r="H877" s="4">
        <f t="shared" si="531"/>
        <v>0</v>
      </c>
      <c r="I877" s="4">
        <f t="shared" si="532"/>
        <v>8925</v>
      </c>
      <c r="J877" s="4">
        <f t="shared" si="533"/>
        <v>0</v>
      </c>
      <c r="K877" s="4">
        <f t="shared" si="534"/>
        <v>0</v>
      </c>
      <c r="L877" s="4">
        <f t="shared" si="535"/>
        <v>0</v>
      </c>
      <c r="M877" s="4">
        <f t="shared" si="536"/>
        <v>0</v>
      </c>
      <c r="N877" s="4">
        <f t="shared" si="537"/>
        <v>0</v>
      </c>
      <c r="O877" s="5">
        <f t="shared" si="538"/>
        <v>31</v>
      </c>
      <c r="P877" s="6" t="str">
        <f t="shared" si="539"/>
        <v>31 TO 45 Days</v>
      </c>
      <c r="Q877" s="7">
        <v>42855</v>
      </c>
      <c r="R877" s="6" t="s">
        <v>2178</v>
      </c>
      <c r="Y877" s="1" t="str">
        <f>"4711239452"</f>
        <v>4711239452</v>
      </c>
    </row>
    <row r="878" spans="1:25" x14ac:dyDescent="0.2">
      <c r="A878" s="9" t="s">
        <v>1852</v>
      </c>
      <c r="B878" s="10">
        <v>42835</v>
      </c>
      <c r="C878" s="9" t="s">
        <v>1853</v>
      </c>
      <c r="D878" s="9" t="s">
        <v>143</v>
      </c>
      <c r="E878" s="9" t="s">
        <v>2190</v>
      </c>
      <c r="F878" s="9">
        <v>600000</v>
      </c>
      <c r="G878" s="8">
        <v>8927</v>
      </c>
      <c r="H878" s="4">
        <f t="shared" si="531"/>
        <v>8927</v>
      </c>
      <c r="I878" s="4">
        <f t="shared" si="532"/>
        <v>0</v>
      </c>
      <c r="J878" s="4">
        <f t="shared" si="533"/>
        <v>0</v>
      </c>
      <c r="K878" s="4">
        <f t="shared" si="534"/>
        <v>0</v>
      </c>
      <c r="L878" s="4">
        <f t="shared" si="535"/>
        <v>0</v>
      </c>
      <c r="M878" s="4">
        <f t="shared" si="536"/>
        <v>0</v>
      </c>
      <c r="N878" s="4">
        <f t="shared" si="537"/>
        <v>0</v>
      </c>
      <c r="O878" s="5">
        <f t="shared" si="538"/>
        <v>20</v>
      </c>
      <c r="P878" s="6" t="str">
        <f t="shared" si="539"/>
        <v>30 Days</v>
      </c>
      <c r="Q878" s="7">
        <v>42855</v>
      </c>
      <c r="R878" s="6" t="str">
        <f>VLOOKUP(A878:A5627,[1]BOM_INV_OPERATOR_DETAILS_OUTPUT!$A$2:$D$1233,4,FALSE)</f>
        <v>AI</v>
      </c>
      <c r="V878" s="1" t="s">
        <v>13</v>
      </c>
      <c r="W878" s="2">
        <v>42835</v>
      </c>
      <c r="X878" s="1" t="s">
        <v>14</v>
      </c>
      <c r="Y878" s="1" t="str">
        <f>"4711242849"</f>
        <v>4711242849</v>
      </c>
    </row>
    <row r="879" spans="1:25" x14ac:dyDescent="0.2">
      <c r="A879" s="9" t="s">
        <v>1558</v>
      </c>
      <c r="B879" s="10">
        <v>42825</v>
      </c>
      <c r="C879" s="9" t="s">
        <v>1559</v>
      </c>
      <c r="D879" s="9" t="s">
        <v>164</v>
      </c>
      <c r="E879" s="9" t="s">
        <v>2190</v>
      </c>
      <c r="F879" s="9">
        <v>0</v>
      </c>
      <c r="G879" s="8">
        <v>8941</v>
      </c>
      <c r="H879" s="4">
        <f t="shared" si="531"/>
        <v>8941</v>
      </c>
      <c r="I879" s="4">
        <f t="shared" si="532"/>
        <v>0</v>
      </c>
      <c r="J879" s="4">
        <f t="shared" si="533"/>
        <v>0</v>
      </c>
      <c r="K879" s="4">
        <f t="shared" si="534"/>
        <v>0</v>
      </c>
      <c r="L879" s="4">
        <f t="shared" si="535"/>
        <v>0</v>
      </c>
      <c r="M879" s="4">
        <f t="shared" si="536"/>
        <v>0</v>
      </c>
      <c r="N879" s="4">
        <f t="shared" si="537"/>
        <v>0</v>
      </c>
      <c r="O879" s="5">
        <f t="shared" si="538"/>
        <v>30</v>
      </c>
      <c r="P879" s="6" t="str">
        <f t="shared" si="539"/>
        <v>30 Days</v>
      </c>
      <c r="Q879" s="7">
        <v>42855</v>
      </c>
      <c r="R879" s="6" t="s">
        <v>2178</v>
      </c>
      <c r="Y879" s="1" t="str">
        <f>"4711239621"</f>
        <v>4711239621</v>
      </c>
    </row>
    <row r="880" spans="1:25" x14ac:dyDescent="0.2">
      <c r="A880" s="9" t="s">
        <v>325</v>
      </c>
      <c r="B880" s="10">
        <v>42751</v>
      </c>
      <c r="C880" s="9" t="s">
        <v>326</v>
      </c>
      <c r="D880" s="9" t="s">
        <v>270</v>
      </c>
      <c r="E880" s="9" t="s">
        <v>2190</v>
      </c>
      <c r="F880" s="9">
        <v>0</v>
      </c>
      <c r="G880" s="8">
        <v>8966</v>
      </c>
      <c r="H880" s="4">
        <f t="shared" si="531"/>
        <v>0</v>
      </c>
      <c r="I880" s="4">
        <f t="shared" si="532"/>
        <v>0</v>
      </c>
      <c r="J880" s="4">
        <f t="shared" si="533"/>
        <v>0</v>
      </c>
      <c r="K880" s="4">
        <f t="shared" si="534"/>
        <v>0</v>
      </c>
      <c r="L880" s="4">
        <f t="shared" si="535"/>
        <v>8966</v>
      </c>
      <c r="M880" s="4">
        <f t="shared" si="536"/>
        <v>0</v>
      </c>
      <c r="N880" s="4">
        <f t="shared" si="537"/>
        <v>8966</v>
      </c>
      <c r="O880" s="5">
        <f t="shared" si="538"/>
        <v>104</v>
      </c>
      <c r="P880" s="6" t="str">
        <f t="shared" si="539"/>
        <v>91 To 120 Days</v>
      </c>
      <c r="Q880" s="7">
        <v>42855</v>
      </c>
      <c r="R880" s="6" t="s">
        <v>2178</v>
      </c>
      <c r="Y880" s="1" t="str">
        <f>"416563537"</f>
        <v>416563537</v>
      </c>
    </row>
    <row r="881" spans="1:25" x14ac:dyDescent="0.2">
      <c r="A881" s="9" t="s">
        <v>831</v>
      </c>
      <c r="B881" s="10">
        <v>42795</v>
      </c>
      <c r="C881" s="9" t="s">
        <v>832</v>
      </c>
      <c r="D881" s="9" t="s">
        <v>148</v>
      </c>
      <c r="E881" s="9" t="s">
        <v>2190</v>
      </c>
      <c r="F881" s="9">
        <v>500000</v>
      </c>
      <c r="G881" s="8">
        <v>8969</v>
      </c>
      <c r="H881" s="4">
        <f t="shared" si="531"/>
        <v>0</v>
      </c>
      <c r="I881" s="4">
        <f t="shared" si="532"/>
        <v>0</v>
      </c>
      <c r="J881" s="4">
        <f t="shared" si="533"/>
        <v>8969</v>
      </c>
      <c r="K881" s="4">
        <f t="shared" si="534"/>
        <v>0</v>
      </c>
      <c r="L881" s="4">
        <f t="shared" si="535"/>
        <v>0</v>
      </c>
      <c r="M881" s="4">
        <f t="shared" si="536"/>
        <v>0</v>
      </c>
      <c r="N881" s="4">
        <f t="shared" si="537"/>
        <v>0</v>
      </c>
      <c r="O881" s="5">
        <f t="shared" si="538"/>
        <v>60</v>
      </c>
      <c r="P881" s="6" t="str">
        <f t="shared" si="539"/>
        <v>46 To 60 Days</v>
      </c>
      <c r="Q881" s="7">
        <v>42855</v>
      </c>
      <c r="R881" s="6" t="s">
        <v>2178</v>
      </c>
      <c r="Y881" s="1" t="str">
        <f>"4750386135"</f>
        <v>4750386135</v>
      </c>
    </row>
    <row r="882" spans="1:25" x14ac:dyDescent="0.2">
      <c r="A882" s="9" t="s">
        <v>1933</v>
      </c>
      <c r="B882" s="10">
        <v>42835</v>
      </c>
      <c r="C882" s="9" t="s">
        <v>1934</v>
      </c>
      <c r="D882" s="9" t="s">
        <v>133</v>
      </c>
      <c r="E882" s="9" t="s">
        <v>2190</v>
      </c>
      <c r="F882" s="9">
        <v>20000000</v>
      </c>
      <c r="G882" s="8">
        <v>8971</v>
      </c>
      <c r="H882" s="4">
        <f t="shared" si="531"/>
        <v>8971</v>
      </c>
      <c r="I882" s="4">
        <f t="shared" si="532"/>
        <v>0</v>
      </c>
      <c r="J882" s="4">
        <f t="shared" si="533"/>
        <v>0</v>
      </c>
      <c r="K882" s="4">
        <f t="shared" si="534"/>
        <v>0</v>
      </c>
      <c r="L882" s="4">
        <f t="shared" si="535"/>
        <v>0</v>
      </c>
      <c r="M882" s="4">
        <f t="shared" si="536"/>
        <v>0</v>
      </c>
      <c r="N882" s="4">
        <f t="shared" si="537"/>
        <v>0</v>
      </c>
      <c r="O882" s="5">
        <f t="shared" si="538"/>
        <v>20</v>
      </c>
      <c r="P882" s="6" t="str">
        <f t="shared" si="539"/>
        <v>30 Days</v>
      </c>
      <c r="Q882" s="7">
        <v>42855</v>
      </c>
      <c r="R882" s="6" t="str">
        <f>VLOOKUP(A882:A5645,[1]BOM_INV_OPERATOR_DETAILS_OUTPUT!$A$2:$D$1233,4,FALSE)</f>
        <v>AI</v>
      </c>
      <c r="V882" s="1" t="s">
        <v>13</v>
      </c>
      <c r="W882" s="2">
        <v>42835</v>
      </c>
      <c r="X882" s="1" t="s">
        <v>14</v>
      </c>
      <c r="Y882" s="1" t="str">
        <f>"4711240461"</f>
        <v>4711240461</v>
      </c>
    </row>
    <row r="883" spans="1:25" x14ac:dyDescent="0.2">
      <c r="A883" s="9" t="s">
        <v>623</v>
      </c>
      <c r="B883" s="10">
        <v>42786</v>
      </c>
      <c r="C883" s="9" t="s">
        <v>624</v>
      </c>
      <c r="D883" s="9" t="s">
        <v>140</v>
      </c>
      <c r="E883" s="9" t="s">
        <v>2190</v>
      </c>
      <c r="F883" s="9">
        <v>0</v>
      </c>
      <c r="G883" s="8">
        <v>8985</v>
      </c>
      <c r="H883" s="4">
        <f t="shared" ref="H883:H913" si="540">IF(O883&lt;=30,G883,0)</f>
        <v>0</v>
      </c>
      <c r="I883" s="4">
        <f t="shared" ref="I883:I913" si="541">IF(AND(O883&gt;30,O883&lt;=45),G883,0)</f>
        <v>0</v>
      </c>
      <c r="J883" s="4">
        <f t="shared" ref="J883:J913" si="542">IF(AND(O883&gt;45,O883&lt;=60),G883,0)</f>
        <v>0</v>
      </c>
      <c r="K883" s="4">
        <f t="shared" ref="K883:K913" si="543">IF(AND(O883&gt;60,O883&lt;=90),G883,0)</f>
        <v>8985</v>
      </c>
      <c r="L883" s="4">
        <f t="shared" ref="L883:L913" si="544">IF(AND(O883&gt;90,O883&lt;=120),G883,0)</f>
        <v>0</v>
      </c>
      <c r="M883" s="4">
        <f t="shared" ref="M883:M913" si="545">IF(O883&gt;120,G883,0)</f>
        <v>0</v>
      </c>
      <c r="N883" s="4">
        <f t="shared" ref="N883:N913" si="546">IF(O883&gt;60,G883,0)</f>
        <v>8985</v>
      </c>
      <c r="O883" s="5">
        <f t="shared" ref="O883:O913" si="547">Q883-B883</f>
        <v>69</v>
      </c>
      <c r="P883" s="6" t="str">
        <f t="shared" ref="P883:P913" si="548">IF(AND(O883&lt;=30),"30 Days",IF(AND(O883&gt;30,O883&lt;=45),"31 TO 45 Days",IF(AND(O883&gt;45,O883&lt;=60),"46 To 60 Days",IF(AND(O883&gt;60,O883&lt;=90),"61 To 90 Days",IF(AND(O883&gt;90,O883&lt;=120),"91 To 120 Days",IF(AND(O883&gt;120),"Plus120Days",))))))</f>
        <v>61 To 90 Days</v>
      </c>
      <c r="Q883" s="7">
        <v>42855</v>
      </c>
      <c r="R883" s="6" t="s">
        <v>2178</v>
      </c>
      <c r="Y883" s="1" t="str">
        <f>"4400187771"</f>
        <v>4400187771</v>
      </c>
    </row>
    <row r="884" spans="1:25" x14ac:dyDescent="0.2">
      <c r="A884" s="9" t="s">
        <v>1007</v>
      </c>
      <c r="B884" s="10">
        <v>42809</v>
      </c>
      <c r="C884" s="9" t="s">
        <v>1008</v>
      </c>
      <c r="D884" s="9" t="s">
        <v>20</v>
      </c>
      <c r="E884" s="9" t="s">
        <v>2190</v>
      </c>
      <c r="F884" s="9">
        <v>1000000</v>
      </c>
      <c r="G884" s="8">
        <v>8987</v>
      </c>
      <c r="H884" s="4">
        <f t="shared" si="540"/>
        <v>0</v>
      </c>
      <c r="I884" s="4">
        <f t="shared" si="541"/>
        <v>0</v>
      </c>
      <c r="J884" s="4">
        <f t="shared" si="542"/>
        <v>8987</v>
      </c>
      <c r="K884" s="4">
        <f t="shared" si="543"/>
        <v>0</v>
      </c>
      <c r="L884" s="4">
        <f t="shared" si="544"/>
        <v>0</v>
      </c>
      <c r="M884" s="4">
        <f t="shared" si="545"/>
        <v>0</v>
      </c>
      <c r="N884" s="4">
        <f t="shared" si="546"/>
        <v>0</v>
      </c>
      <c r="O884" s="5">
        <f t="shared" si="547"/>
        <v>46</v>
      </c>
      <c r="P884" s="6" t="str">
        <f t="shared" si="548"/>
        <v>46 To 60 Days</v>
      </c>
      <c r="Q884" s="7">
        <v>42855</v>
      </c>
      <c r="R884" s="6" t="s">
        <v>2178</v>
      </c>
      <c r="Y884" s="1" t="str">
        <f>"4041694992"</f>
        <v>4041694992</v>
      </c>
    </row>
    <row r="885" spans="1:25" x14ac:dyDescent="0.2">
      <c r="A885" s="9" t="s">
        <v>1256</v>
      </c>
      <c r="B885" s="10">
        <v>42817</v>
      </c>
      <c r="C885" s="9" t="s">
        <v>1257</v>
      </c>
      <c r="D885" s="9" t="s">
        <v>666</v>
      </c>
      <c r="E885" s="9" t="s">
        <v>2190</v>
      </c>
      <c r="F885" s="9">
        <v>3377500</v>
      </c>
      <c r="G885" s="8">
        <v>8988</v>
      </c>
      <c r="H885" s="4">
        <f t="shared" si="540"/>
        <v>0</v>
      </c>
      <c r="I885" s="4">
        <f t="shared" si="541"/>
        <v>8988</v>
      </c>
      <c r="J885" s="4">
        <f t="shared" si="542"/>
        <v>0</v>
      </c>
      <c r="K885" s="4">
        <f t="shared" si="543"/>
        <v>0</v>
      </c>
      <c r="L885" s="4">
        <f t="shared" si="544"/>
        <v>0</v>
      </c>
      <c r="M885" s="4">
        <f t="shared" si="545"/>
        <v>0</v>
      </c>
      <c r="N885" s="4">
        <f t="shared" si="546"/>
        <v>0</v>
      </c>
      <c r="O885" s="5">
        <f t="shared" si="547"/>
        <v>38</v>
      </c>
      <c r="P885" s="6" t="str">
        <f t="shared" si="548"/>
        <v>31 TO 45 Days</v>
      </c>
      <c r="Q885" s="7">
        <v>42855</v>
      </c>
      <c r="R885" s="6" t="s">
        <v>2178</v>
      </c>
      <c r="S885" s="1">
        <v>134.97</v>
      </c>
      <c r="T885" s="1" t="s">
        <v>31</v>
      </c>
      <c r="V885" s="1" t="s">
        <v>13</v>
      </c>
      <c r="W885" s="2">
        <v>42818</v>
      </c>
      <c r="X885" s="1" t="s">
        <v>14</v>
      </c>
      <c r="Y885" s="1" t="str">
        <f>"4831171473"</f>
        <v>4831171473</v>
      </c>
    </row>
    <row r="886" spans="1:25" x14ac:dyDescent="0.2">
      <c r="A886" s="9" t="s">
        <v>644</v>
      </c>
      <c r="B886" s="10">
        <v>42787</v>
      </c>
      <c r="C886" s="9" t="s">
        <v>645</v>
      </c>
      <c r="D886" s="9" t="s">
        <v>30</v>
      </c>
      <c r="E886" s="9" t="s">
        <v>2190</v>
      </c>
      <c r="F886" s="9">
        <v>700000</v>
      </c>
      <c r="G886" s="8">
        <v>8992</v>
      </c>
      <c r="H886" s="4">
        <f t="shared" si="540"/>
        <v>0</v>
      </c>
      <c r="I886" s="4">
        <f t="shared" si="541"/>
        <v>0</v>
      </c>
      <c r="J886" s="4">
        <f t="shared" si="542"/>
        <v>0</v>
      </c>
      <c r="K886" s="4">
        <f t="shared" si="543"/>
        <v>8992</v>
      </c>
      <c r="L886" s="4">
        <f t="shared" si="544"/>
        <v>0</v>
      </c>
      <c r="M886" s="4">
        <f t="shared" si="545"/>
        <v>0</v>
      </c>
      <c r="N886" s="4">
        <f t="shared" si="546"/>
        <v>8992</v>
      </c>
      <c r="O886" s="5">
        <f t="shared" si="547"/>
        <v>68</v>
      </c>
      <c r="P886" s="6" t="str">
        <f t="shared" si="548"/>
        <v>61 To 90 Days</v>
      </c>
      <c r="Q886" s="7">
        <v>42855</v>
      </c>
      <c r="R886" s="6" t="s">
        <v>2178</v>
      </c>
      <c r="Y886" s="1" t="str">
        <f>"4395844939"</f>
        <v>4395844939</v>
      </c>
    </row>
    <row r="887" spans="1:25" x14ac:dyDescent="0.2">
      <c r="A887" s="9" t="s">
        <v>1223</v>
      </c>
      <c r="B887" s="10">
        <v>42816</v>
      </c>
      <c r="C887" s="9" t="s">
        <v>1224</v>
      </c>
      <c r="D887" s="9" t="s">
        <v>164</v>
      </c>
      <c r="E887" s="9" t="s">
        <v>2190</v>
      </c>
      <c r="F887" s="9">
        <v>0</v>
      </c>
      <c r="G887" s="8">
        <v>8994</v>
      </c>
      <c r="H887" s="4">
        <f t="shared" si="540"/>
        <v>0</v>
      </c>
      <c r="I887" s="4">
        <f t="shared" si="541"/>
        <v>8994</v>
      </c>
      <c r="J887" s="4">
        <f t="shared" si="542"/>
        <v>0</v>
      </c>
      <c r="K887" s="4">
        <f t="shared" si="543"/>
        <v>0</v>
      </c>
      <c r="L887" s="4">
        <f t="shared" si="544"/>
        <v>0</v>
      </c>
      <c r="M887" s="4">
        <f t="shared" si="545"/>
        <v>0</v>
      </c>
      <c r="N887" s="4">
        <f t="shared" si="546"/>
        <v>0</v>
      </c>
      <c r="O887" s="5">
        <f t="shared" si="547"/>
        <v>39</v>
      </c>
      <c r="P887" s="6" t="str">
        <f t="shared" si="548"/>
        <v>31 TO 45 Days</v>
      </c>
      <c r="Q887" s="7">
        <v>42855</v>
      </c>
      <c r="R887" s="6" t="s">
        <v>2178</v>
      </c>
      <c r="Y887" s="1" t="str">
        <f>"4711238339"</f>
        <v>4711238339</v>
      </c>
    </row>
    <row r="888" spans="1:25" x14ac:dyDescent="0.2">
      <c r="A888" s="9" t="s">
        <v>1511</v>
      </c>
      <c r="B888" s="10">
        <v>42824</v>
      </c>
      <c r="C888" s="9" t="s">
        <v>499</v>
      </c>
      <c r="D888" s="9" t="s">
        <v>175</v>
      </c>
      <c r="E888" s="9" t="s">
        <v>2190</v>
      </c>
      <c r="F888" s="9">
        <v>1500000</v>
      </c>
      <c r="G888" s="8">
        <v>9000</v>
      </c>
      <c r="H888" s="4">
        <f t="shared" si="540"/>
        <v>0</v>
      </c>
      <c r="I888" s="4">
        <f t="shared" si="541"/>
        <v>9000</v>
      </c>
      <c r="J888" s="4">
        <f t="shared" si="542"/>
        <v>0</v>
      </c>
      <c r="K888" s="4">
        <f t="shared" si="543"/>
        <v>0</v>
      </c>
      <c r="L888" s="4">
        <f t="shared" si="544"/>
        <v>0</v>
      </c>
      <c r="M888" s="4">
        <f t="shared" si="545"/>
        <v>0</v>
      </c>
      <c r="N888" s="4">
        <f t="shared" si="546"/>
        <v>0</v>
      </c>
      <c r="O888" s="5">
        <f t="shared" si="547"/>
        <v>31</v>
      </c>
      <c r="P888" s="6" t="str">
        <f t="shared" si="548"/>
        <v>31 TO 45 Days</v>
      </c>
      <c r="Q888" s="7">
        <v>42855</v>
      </c>
      <c r="R888" s="6" t="s">
        <v>2178</v>
      </c>
      <c r="Y888" s="1" t="str">
        <f>"4071585212"</f>
        <v>4071585212</v>
      </c>
    </row>
    <row r="889" spans="1:25" x14ac:dyDescent="0.2">
      <c r="A889" s="9" t="s">
        <v>1443</v>
      </c>
      <c r="B889" s="10">
        <v>42824</v>
      </c>
      <c r="C889" s="9" t="s">
        <v>1444</v>
      </c>
      <c r="D889" s="9" t="s">
        <v>17</v>
      </c>
      <c r="E889" s="9" t="s">
        <v>2190</v>
      </c>
      <c r="F889" s="9">
        <v>500000</v>
      </c>
      <c r="G889" s="8">
        <v>9007</v>
      </c>
      <c r="H889" s="4">
        <f t="shared" si="540"/>
        <v>0</v>
      </c>
      <c r="I889" s="4">
        <f t="shared" si="541"/>
        <v>9007</v>
      </c>
      <c r="J889" s="4">
        <f t="shared" si="542"/>
        <v>0</v>
      </c>
      <c r="K889" s="4">
        <f t="shared" si="543"/>
        <v>0</v>
      </c>
      <c r="L889" s="4">
        <f t="shared" si="544"/>
        <v>0</v>
      </c>
      <c r="M889" s="4">
        <f t="shared" si="545"/>
        <v>0</v>
      </c>
      <c r="N889" s="4">
        <f t="shared" si="546"/>
        <v>0</v>
      </c>
      <c r="O889" s="5">
        <f t="shared" si="547"/>
        <v>31</v>
      </c>
      <c r="P889" s="6" t="str">
        <f t="shared" si="548"/>
        <v>31 TO 45 Days</v>
      </c>
      <c r="Q889" s="7">
        <v>42855</v>
      </c>
      <c r="R889" s="6" t="s">
        <v>2178</v>
      </c>
      <c r="Y889" s="1" t="str">
        <f>"4560218902"</f>
        <v>4560218902</v>
      </c>
    </row>
    <row r="890" spans="1:25" x14ac:dyDescent="0.2">
      <c r="A890" s="9" t="s">
        <v>1456</v>
      </c>
      <c r="B890" s="10">
        <v>42824</v>
      </c>
      <c r="C890" s="9" t="s">
        <v>1457</v>
      </c>
      <c r="D890" s="9" t="s">
        <v>17</v>
      </c>
      <c r="E890" s="9" t="s">
        <v>2190</v>
      </c>
      <c r="F890" s="9">
        <v>500000</v>
      </c>
      <c r="G890" s="8">
        <v>9007</v>
      </c>
      <c r="H890" s="4">
        <f t="shared" si="540"/>
        <v>0</v>
      </c>
      <c r="I890" s="4">
        <f t="shared" si="541"/>
        <v>9007</v>
      </c>
      <c r="J890" s="4">
        <f t="shared" si="542"/>
        <v>0</v>
      </c>
      <c r="K890" s="4">
        <f t="shared" si="543"/>
        <v>0</v>
      </c>
      <c r="L890" s="4">
        <f t="shared" si="544"/>
        <v>0</v>
      </c>
      <c r="M890" s="4">
        <f t="shared" si="545"/>
        <v>0</v>
      </c>
      <c r="N890" s="4">
        <f t="shared" si="546"/>
        <v>0</v>
      </c>
      <c r="O890" s="5">
        <f t="shared" si="547"/>
        <v>31</v>
      </c>
      <c r="P890" s="6" t="str">
        <f t="shared" si="548"/>
        <v>31 TO 45 Days</v>
      </c>
      <c r="Q890" s="7">
        <v>42855</v>
      </c>
      <c r="R890" s="6" t="s">
        <v>2178</v>
      </c>
      <c r="Y890" s="1" t="str">
        <f>"4560218849"</f>
        <v>4560218849</v>
      </c>
    </row>
    <row r="891" spans="1:25" x14ac:dyDescent="0.2">
      <c r="A891" s="9" t="s">
        <v>813</v>
      </c>
      <c r="B891" s="10">
        <v>42794</v>
      </c>
      <c r="C891" s="9" t="s">
        <v>814</v>
      </c>
      <c r="D891" s="9" t="s">
        <v>164</v>
      </c>
      <c r="E891" s="9" t="s">
        <v>2190</v>
      </c>
      <c r="F891" s="9">
        <v>0</v>
      </c>
      <c r="G891" s="8">
        <v>9010</v>
      </c>
      <c r="H891" s="4">
        <f t="shared" si="540"/>
        <v>0</v>
      </c>
      <c r="I891" s="4">
        <f t="shared" si="541"/>
        <v>0</v>
      </c>
      <c r="J891" s="4">
        <f t="shared" si="542"/>
        <v>0</v>
      </c>
      <c r="K891" s="4">
        <f t="shared" si="543"/>
        <v>9010</v>
      </c>
      <c r="L891" s="4">
        <f t="shared" si="544"/>
        <v>0</v>
      </c>
      <c r="M891" s="4">
        <f t="shared" si="545"/>
        <v>0</v>
      </c>
      <c r="N891" s="4">
        <f t="shared" si="546"/>
        <v>9010</v>
      </c>
      <c r="O891" s="5">
        <f t="shared" si="547"/>
        <v>61</v>
      </c>
      <c r="P891" s="6" t="str">
        <f t="shared" si="548"/>
        <v>61 To 90 Days</v>
      </c>
      <c r="Q891" s="7">
        <v>42855</v>
      </c>
      <c r="R891" s="6" t="s">
        <v>2178</v>
      </c>
      <c r="Y891" s="1" t="str">
        <f>"4711232161"</f>
        <v>4711232161</v>
      </c>
    </row>
    <row r="892" spans="1:25" x14ac:dyDescent="0.2">
      <c r="A892" s="9" t="s">
        <v>1330</v>
      </c>
      <c r="B892" s="10">
        <v>42819</v>
      </c>
      <c r="C892" s="9" t="s">
        <v>1331</v>
      </c>
      <c r="D892" s="9" t="s">
        <v>629</v>
      </c>
      <c r="E892" s="9" t="s">
        <v>2190</v>
      </c>
      <c r="F892" s="9">
        <v>2000000</v>
      </c>
      <c r="G892" s="8">
        <v>9014</v>
      </c>
      <c r="H892" s="4">
        <f t="shared" si="540"/>
        <v>0</v>
      </c>
      <c r="I892" s="4">
        <f t="shared" si="541"/>
        <v>9014</v>
      </c>
      <c r="J892" s="4">
        <f t="shared" si="542"/>
        <v>0</v>
      </c>
      <c r="K892" s="4">
        <f t="shared" si="543"/>
        <v>0</v>
      </c>
      <c r="L892" s="4">
        <f t="shared" si="544"/>
        <v>0</v>
      </c>
      <c r="M892" s="4">
        <f t="shared" si="545"/>
        <v>0</v>
      </c>
      <c r="N892" s="4">
        <f t="shared" si="546"/>
        <v>0</v>
      </c>
      <c r="O892" s="5">
        <f t="shared" si="547"/>
        <v>36</v>
      </c>
      <c r="P892" s="6" t="str">
        <f t="shared" si="548"/>
        <v>31 TO 45 Days</v>
      </c>
      <c r="Q892" s="7">
        <v>42855</v>
      </c>
      <c r="R892" s="6" t="s">
        <v>2178</v>
      </c>
      <c r="Y892" s="1" t="str">
        <f>"4200121536"</f>
        <v>4200121536</v>
      </c>
    </row>
    <row r="893" spans="1:25" x14ac:dyDescent="0.2">
      <c r="A893" s="9" t="s">
        <v>557</v>
      </c>
      <c r="B893" s="10">
        <v>42779</v>
      </c>
      <c r="C893" s="9" t="s">
        <v>558</v>
      </c>
      <c r="D893" s="9" t="s">
        <v>161</v>
      </c>
      <c r="E893" s="9" t="s">
        <v>2190</v>
      </c>
      <c r="F893" s="9">
        <v>0</v>
      </c>
      <c r="G893" s="8">
        <v>9018</v>
      </c>
      <c r="H893" s="4">
        <f t="shared" si="540"/>
        <v>0</v>
      </c>
      <c r="I893" s="4">
        <f t="shared" si="541"/>
        <v>0</v>
      </c>
      <c r="J893" s="4">
        <f t="shared" si="542"/>
        <v>0</v>
      </c>
      <c r="K893" s="4">
        <f t="shared" si="543"/>
        <v>9018</v>
      </c>
      <c r="L893" s="4">
        <f t="shared" si="544"/>
        <v>0</v>
      </c>
      <c r="M893" s="4">
        <f t="shared" si="545"/>
        <v>0</v>
      </c>
      <c r="N893" s="4">
        <f t="shared" si="546"/>
        <v>9018</v>
      </c>
      <c r="O893" s="5">
        <f t="shared" si="547"/>
        <v>76</v>
      </c>
      <c r="P893" s="6" t="str">
        <f t="shared" si="548"/>
        <v>61 To 90 Days</v>
      </c>
      <c r="Q893" s="7">
        <v>42855</v>
      </c>
      <c r="R893" s="6" t="s">
        <v>2178</v>
      </c>
      <c r="Y893" s="1" t="str">
        <f>"4711227782"</f>
        <v>4711227782</v>
      </c>
    </row>
    <row r="894" spans="1:25" x14ac:dyDescent="0.2">
      <c r="A894" s="9" t="s">
        <v>1387</v>
      </c>
      <c r="B894" s="10">
        <v>42822</v>
      </c>
      <c r="C894" s="9" t="s">
        <v>1388</v>
      </c>
      <c r="D894" s="9" t="s">
        <v>164</v>
      </c>
      <c r="E894" s="9" t="s">
        <v>2190</v>
      </c>
      <c r="F894" s="9">
        <v>0</v>
      </c>
      <c r="G894" s="8">
        <v>9023</v>
      </c>
      <c r="H894" s="4">
        <f t="shared" si="540"/>
        <v>0</v>
      </c>
      <c r="I894" s="4">
        <f t="shared" si="541"/>
        <v>9023</v>
      </c>
      <c r="J894" s="4">
        <f t="shared" si="542"/>
        <v>0</v>
      </c>
      <c r="K894" s="4">
        <f t="shared" si="543"/>
        <v>0</v>
      </c>
      <c r="L894" s="4">
        <f t="shared" si="544"/>
        <v>0</v>
      </c>
      <c r="M894" s="4">
        <f t="shared" si="545"/>
        <v>0</v>
      </c>
      <c r="N894" s="4">
        <f t="shared" si="546"/>
        <v>0</v>
      </c>
      <c r="O894" s="5">
        <f t="shared" si="547"/>
        <v>33</v>
      </c>
      <c r="P894" s="6" t="str">
        <f t="shared" si="548"/>
        <v>31 TO 45 Days</v>
      </c>
      <c r="Q894" s="7">
        <v>42855</v>
      </c>
      <c r="R894" s="6" t="s">
        <v>2178</v>
      </c>
      <c r="Y894" s="1" t="str">
        <f>"4711238076"</f>
        <v>4711238076</v>
      </c>
    </row>
    <row r="895" spans="1:25" x14ac:dyDescent="0.2">
      <c r="A895" s="9" t="s">
        <v>1652</v>
      </c>
      <c r="B895" s="10">
        <v>42828</v>
      </c>
      <c r="C895" s="9" t="s">
        <v>1653</v>
      </c>
      <c r="D895" s="9" t="s">
        <v>666</v>
      </c>
      <c r="E895" s="9" t="s">
        <v>2190</v>
      </c>
      <c r="F895" s="9">
        <v>3377500</v>
      </c>
      <c r="G895" s="8">
        <v>9041</v>
      </c>
      <c r="H895" s="4">
        <f t="shared" si="540"/>
        <v>9041</v>
      </c>
      <c r="I895" s="4">
        <f t="shared" si="541"/>
        <v>0</v>
      </c>
      <c r="J895" s="4">
        <f t="shared" si="542"/>
        <v>0</v>
      </c>
      <c r="K895" s="4">
        <f t="shared" si="543"/>
        <v>0</v>
      </c>
      <c r="L895" s="4">
        <f t="shared" si="544"/>
        <v>0</v>
      </c>
      <c r="M895" s="4">
        <f t="shared" si="545"/>
        <v>0</v>
      </c>
      <c r="N895" s="4">
        <f t="shared" si="546"/>
        <v>0</v>
      </c>
      <c r="O895" s="5">
        <f t="shared" si="547"/>
        <v>27</v>
      </c>
      <c r="P895" s="6" t="str">
        <f t="shared" si="548"/>
        <v>30 Days</v>
      </c>
      <c r="Q895" s="7">
        <v>42855</v>
      </c>
      <c r="R895" s="6" t="s">
        <v>2178</v>
      </c>
      <c r="S895" s="1">
        <v>137.08000000000001</v>
      </c>
      <c r="T895" s="1" t="s">
        <v>31</v>
      </c>
      <c r="V895" s="1" t="s">
        <v>13</v>
      </c>
      <c r="W895" s="2">
        <v>42828</v>
      </c>
      <c r="X895" s="1" t="s">
        <v>14</v>
      </c>
      <c r="Y895" s="1" t="str">
        <f>"412121756"</f>
        <v>412121756</v>
      </c>
    </row>
    <row r="896" spans="1:25" x14ac:dyDescent="0.2">
      <c r="A896" s="9" t="s">
        <v>913</v>
      </c>
      <c r="B896" s="10">
        <v>42800</v>
      </c>
      <c r="C896" s="9" t="s">
        <v>914</v>
      </c>
      <c r="D896" s="9" t="s">
        <v>145</v>
      </c>
      <c r="E896" s="9" t="s">
        <v>2190</v>
      </c>
      <c r="F896" s="9">
        <v>2100000</v>
      </c>
      <c r="G896" s="8">
        <v>9044</v>
      </c>
      <c r="H896" s="4">
        <f t="shared" si="540"/>
        <v>0</v>
      </c>
      <c r="I896" s="4">
        <f t="shared" si="541"/>
        <v>0</v>
      </c>
      <c r="J896" s="4">
        <f t="shared" si="542"/>
        <v>9044</v>
      </c>
      <c r="K896" s="4">
        <f t="shared" si="543"/>
        <v>0</v>
      </c>
      <c r="L896" s="4">
        <f t="shared" si="544"/>
        <v>0</v>
      </c>
      <c r="M896" s="4">
        <f t="shared" si="545"/>
        <v>0</v>
      </c>
      <c r="N896" s="4">
        <f t="shared" si="546"/>
        <v>0</v>
      </c>
      <c r="O896" s="5">
        <f t="shared" si="547"/>
        <v>55</v>
      </c>
      <c r="P896" s="6" t="str">
        <f t="shared" si="548"/>
        <v>46 To 60 Days</v>
      </c>
      <c r="Q896" s="7">
        <v>42855</v>
      </c>
      <c r="R896" s="6" t="s">
        <v>2178</v>
      </c>
      <c r="Y896" s="1" t="str">
        <f>"4410075805"</f>
        <v>4410075805</v>
      </c>
    </row>
    <row r="897" spans="1:25" x14ac:dyDescent="0.2">
      <c r="A897" s="9" t="s">
        <v>1054</v>
      </c>
      <c r="B897" s="10">
        <v>42811</v>
      </c>
      <c r="C897" s="9" t="s">
        <v>1055</v>
      </c>
      <c r="D897" s="9" t="s">
        <v>17</v>
      </c>
      <c r="E897" s="9" t="s">
        <v>2190</v>
      </c>
      <c r="F897" s="9">
        <v>500000</v>
      </c>
      <c r="G897" s="8">
        <v>9054</v>
      </c>
      <c r="H897" s="4">
        <f t="shared" si="540"/>
        <v>0</v>
      </c>
      <c r="I897" s="4">
        <f t="shared" si="541"/>
        <v>9054</v>
      </c>
      <c r="J897" s="4">
        <f t="shared" si="542"/>
        <v>0</v>
      </c>
      <c r="K897" s="4">
        <f t="shared" si="543"/>
        <v>0</v>
      </c>
      <c r="L897" s="4">
        <f t="shared" si="544"/>
        <v>0</v>
      </c>
      <c r="M897" s="4">
        <f t="shared" si="545"/>
        <v>0</v>
      </c>
      <c r="N897" s="4">
        <f t="shared" si="546"/>
        <v>0</v>
      </c>
      <c r="O897" s="5">
        <f t="shared" si="547"/>
        <v>44</v>
      </c>
      <c r="P897" s="6" t="str">
        <f t="shared" si="548"/>
        <v>31 TO 45 Days</v>
      </c>
      <c r="Q897" s="7">
        <v>42855</v>
      </c>
      <c r="R897" s="6" t="s">
        <v>2178</v>
      </c>
      <c r="Y897" s="1" t="str">
        <f>"4560218324"</f>
        <v>4560218324</v>
      </c>
    </row>
    <row r="898" spans="1:25" x14ac:dyDescent="0.2">
      <c r="A898" s="9" t="s">
        <v>1246</v>
      </c>
      <c r="B898" s="10">
        <v>42817</v>
      </c>
      <c r="C898" s="9" t="s">
        <v>1247</v>
      </c>
      <c r="D898" s="9" t="s">
        <v>143</v>
      </c>
      <c r="E898" s="9" t="s">
        <v>2190</v>
      </c>
      <c r="F898" s="9">
        <v>600000</v>
      </c>
      <c r="G898" s="8">
        <v>9059</v>
      </c>
      <c r="H898" s="4">
        <f t="shared" si="540"/>
        <v>0</v>
      </c>
      <c r="I898" s="4">
        <f t="shared" si="541"/>
        <v>9059</v>
      </c>
      <c r="J898" s="4">
        <f t="shared" si="542"/>
        <v>0</v>
      </c>
      <c r="K898" s="4">
        <f t="shared" si="543"/>
        <v>0</v>
      </c>
      <c r="L898" s="4">
        <f t="shared" si="544"/>
        <v>0</v>
      </c>
      <c r="M898" s="4">
        <f t="shared" si="545"/>
        <v>0</v>
      </c>
      <c r="N898" s="4">
        <f t="shared" si="546"/>
        <v>0</v>
      </c>
      <c r="O898" s="5">
        <f t="shared" si="547"/>
        <v>38</v>
      </c>
      <c r="P898" s="6" t="str">
        <f t="shared" si="548"/>
        <v>31 TO 45 Days</v>
      </c>
      <c r="Q898" s="7">
        <v>42855</v>
      </c>
      <c r="R898" s="6" t="s">
        <v>2178</v>
      </c>
      <c r="V898" s="1" t="s">
        <v>13</v>
      </c>
      <c r="W898" s="2">
        <v>42817</v>
      </c>
      <c r="X898" s="1" t="s">
        <v>14</v>
      </c>
      <c r="Y898" s="1" t="str">
        <f>"4711236938"</f>
        <v>4711236938</v>
      </c>
    </row>
    <row r="899" spans="1:25" x14ac:dyDescent="0.2">
      <c r="A899" s="9" t="s">
        <v>602</v>
      </c>
      <c r="B899" s="10">
        <v>42783</v>
      </c>
      <c r="C899" s="9" t="s">
        <v>603</v>
      </c>
      <c r="D899" s="9" t="s">
        <v>492</v>
      </c>
      <c r="E899" s="9" t="s">
        <v>2190</v>
      </c>
      <c r="F899" s="9">
        <v>500000</v>
      </c>
      <c r="G899" s="8">
        <v>9060</v>
      </c>
      <c r="H899" s="4">
        <f t="shared" si="540"/>
        <v>0</v>
      </c>
      <c r="I899" s="4">
        <f t="shared" si="541"/>
        <v>0</v>
      </c>
      <c r="J899" s="4">
        <f t="shared" si="542"/>
        <v>0</v>
      </c>
      <c r="K899" s="4">
        <f t="shared" si="543"/>
        <v>9060</v>
      </c>
      <c r="L899" s="4">
        <f t="shared" si="544"/>
        <v>0</v>
      </c>
      <c r="M899" s="4">
        <f t="shared" si="545"/>
        <v>0</v>
      </c>
      <c r="N899" s="4">
        <f t="shared" si="546"/>
        <v>9060</v>
      </c>
      <c r="O899" s="5">
        <f t="shared" si="547"/>
        <v>72</v>
      </c>
      <c r="P899" s="6" t="str">
        <f t="shared" si="548"/>
        <v>61 To 90 Days</v>
      </c>
      <c r="Q899" s="7">
        <v>42855</v>
      </c>
      <c r="R899" s="6" t="s">
        <v>2178</v>
      </c>
      <c r="Y899" s="1" t="str">
        <f>"4570268790"</f>
        <v>4570268790</v>
      </c>
    </row>
    <row r="900" spans="1:25" x14ac:dyDescent="0.2">
      <c r="A900" s="9" t="s">
        <v>917</v>
      </c>
      <c r="B900" s="10">
        <v>42800</v>
      </c>
      <c r="C900" s="9" t="s">
        <v>918</v>
      </c>
      <c r="D900" s="9" t="s">
        <v>17</v>
      </c>
      <c r="E900" s="9" t="s">
        <v>2190</v>
      </c>
      <c r="F900" s="9">
        <v>500000</v>
      </c>
      <c r="G900" s="8">
        <v>9065</v>
      </c>
      <c r="H900" s="4">
        <f t="shared" si="540"/>
        <v>0</v>
      </c>
      <c r="I900" s="4">
        <f t="shared" si="541"/>
        <v>0</v>
      </c>
      <c r="J900" s="4">
        <f t="shared" si="542"/>
        <v>9065</v>
      </c>
      <c r="K900" s="4">
        <f t="shared" si="543"/>
        <v>0</v>
      </c>
      <c r="L900" s="4">
        <f t="shared" si="544"/>
        <v>0</v>
      </c>
      <c r="M900" s="4">
        <f t="shared" si="545"/>
        <v>0</v>
      </c>
      <c r="N900" s="4">
        <f t="shared" si="546"/>
        <v>0</v>
      </c>
      <c r="O900" s="5">
        <f t="shared" si="547"/>
        <v>55</v>
      </c>
      <c r="P900" s="6" t="str">
        <f t="shared" si="548"/>
        <v>46 To 60 Days</v>
      </c>
      <c r="Q900" s="7">
        <v>42855</v>
      </c>
      <c r="R900" s="6" t="s">
        <v>2178</v>
      </c>
      <c r="Y900" s="1" t="str">
        <f>"4560217933"</f>
        <v>4560217933</v>
      </c>
    </row>
    <row r="901" spans="1:25" x14ac:dyDescent="0.2">
      <c r="A901" s="9" t="s">
        <v>1324</v>
      </c>
      <c r="B901" s="10">
        <v>42819</v>
      </c>
      <c r="C901" s="9" t="s">
        <v>1325</v>
      </c>
      <c r="D901" s="9" t="s">
        <v>162</v>
      </c>
      <c r="E901" s="9" t="s">
        <v>2190</v>
      </c>
      <c r="F901" s="9">
        <v>300000</v>
      </c>
      <c r="G901" s="8">
        <v>9066</v>
      </c>
      <c r="H901" s="4">
        <f t="shared" si="540"/>
        <v>0</v>
      </c>
      <c r="I901" s="4">
        <f t="shared" si="541"/>
        <v>9066</v>
      </c>
      <c r="J901" s="4">
        <f t="shared" si="542"/>
        <v>0</v>
      </c>
      <c r="K901" s="4">
        <f t="shared" si="543"/>
        <v>0</v>
      </c>
      <c r="L901" s="4">
        <f t="shared" si="544"/>
        <v>0</v>
      </c>
      <c r="M901" s="4">
        <f t="shared" si="545"/>
        <v>0</v>
      </c>
      <c r="N901" s="4">
        <f t="shared" si="546"/>
        <v>0</v>
      </c>
      <c r="O901" s="5">
        <f t="shared" si="547"/>
        <v>36</v>
      </c>
      <c r="P901" s="6" t="str">
        <f t="shared" si="548"/>
        <v>31 TO 45 Days</v>
      </c>
      <c r="Q901" s="7">
        <v>42855</v>
      </c>
      <c r="R901" s="6" t="s">
        <v>2178</v>
      </c>
      <c r="Y901" s="1" t="str">
        <f>"4570270566"</f>
        <v>4570270566</v>
      </c>
    </row>
    <row r="902" spans="1:25" x14ac:dyDescent="0.2">
      <c r="A902" s="9" t="s">
        <v>472</v>
      </c>
      <c r="B902" s="10">
        <v>42769</v>
      </c>
      <c r="C902" s="9" t="s">
        <v>473</v>
      </c>
      <c r="D902" s="9" t="s">
        <v>140</v>
      </c>
      <c r="E902" s="9" t="s">
        <v>2190</v>
      </c>
      <c r="F902" s="9">
        <v>0</v>
      </c>
      <c r="G902" s="8">
        <v>9076</v>
      </c>
      <c r="H902" s="4">
        <f t="shared" si="540"/>
        <v>0</v>
      </c>
      <c r="I902" s="4">
        <f t="shared" si="541"/>
        <v>0</v>
      </c>
      <c r="J902" s="4">
        <f t="shared" si="542"/>
        <v>0</v>
      </c>
      <c r="K902" s="4">
        <f t="shared" si="543"/>
        <v>9076</v>
      </c>
      <c r="L902" s="4">
        <f t="shared" si="544"/>
        <v>0</v>
      </c>
      <c r="M902" s="4">
        <f t="shared" si="545"/>
        <v>0</v>
      </c>
      <c r="N902" s="4">
        <f t="shared" si="546"/>
        <v>9076</v>
      </c>
      <c r="O902" s="5">
        <f t="shared" si="547"/>
        <v>86</v>
      </c>
      <c r="P902" s="6" t="str">
        <f t="shared" si="548"/>
        <v>61 To 90 Days</v>
      </c>
      <c r="Q902" s="7">
        <v>42855</v>
      </c>
      <c r="R902" s="6" t="s">
        <v>2178</v>
      </c>
      <c r="Y902" s="1" t="str">
        <f>"4400187556"</f>
        <v>4400187556</v>
      </c>
    </row>
    <row r="903" spans="1:25" x14ac:dyDescent="0.2">
      <c r="A903" s="9" t="s">
        <v>994</v>
      </c>
      <c r="B903" s="10">
        <v>42808</v>
      </c>
      <c r="C903" s="9" t="s">
        <v>995</v>
      </c>
      <c r="D903" s="9" t="s">
        <v>666</v>
      </c>
      <c r="E903" s="9" t="s">
        <v>2190</v>
      </c>
      <c r="F903" s="9">
        <v>3377500</v>
      </c>
      <c r="G903" s="8">
        <v>9077</v>
      </c>
      <c r="H903" s="4">
        <f t="shared" si="540"/>
        <v>0</v>
      </c>
      <c r="I903" s="4">
        <f t="shared" si="541"/>
        <v>0</v>
      </c>
      <c r="J903" s="4">
        <f t="shared" si="542"/>
        <v>9077</v>
      </c>
      <c r="K903" s="4">
        <f t="shared" si="543"/>
        <v>0</v>
      </c>
      <c r="L903" s="4">
        <f t="shared" si="544"/>
        <v>0</v>
      </c>
      <c r="M903" s="4">
        <f t="shared" si="545"/>
        <v>0</v>
      </c>
      <c r="N903" s="4">
        <f t="shared" si="546"/>
        <v>0</v>
      </c>
      <c r="O903" s="5">
        <f t="shared" si="547"/>
        <v>47</v>
      </c>
      <c r="P903" s="6" t="str">
        <f t="shared" si="548"/>
        <v>46 To 60 Days</v>
      </c>
      <c r="Q903" s="7">
        <v>42855</v>
      </c>
      <c r="R903" s="6" t="s">
        <v>2178</v>
      </c>
      <c r="S903" s="1">
        <v>134.66</v>
      </c>
      <c r="T903" s="1" t="s">
        <v>31</v>
      </c>
      <c r="V903" s="1" t="s">
        <v>13</v>
      </c>
      <c r="W903" s="2">
        <v>42808</v>
      </c>
      <c r="X903" s="1" t="s">
        <v>14</v>
      </c>
      <c r="Y903" s="1" t="s">
        <v>996</v>
      </c>
    </row>
    <row r="904" spans="1:25" x14ac:dyDescent="0.2">
      <c r="A904" s="9" t="s">
        <v>1646</v>
      </c>
      <c r="B904" s="10">
        <v>42828</v>
      </c>
      <c r="C904" s="9" t="s">
        <v>1647</v>
      </c>
      <c r="D904" s="9" t="s">
        <v>666</v>
      </c>
      <c r="E904" s="9" t="s">
        <v>2190</v>
      </c>
      <c r="F904" s="9">
        <v>3377500</v>
      </c>
      <c r="G904" s="8">
        <v>9091</v>
      </c>
      <c r="H904" s="4">
        <f t="shared" si="540"/>
        <v>9091</v>
      </c>
      <c r="I904" s="4">
        <f t="shared" si="541"/>
        <v>0</v>
      </c>
      <c r="J904" s="4">
        <f t="shared" si="542"/>
        <v>0</v>
      </c>
      <c r="K904" s="4">
        <f t="shared" si="543"/>
        <v>0</v>
      </c>
      <c r="L904" s="4">
        <f t="shared" si="544"/>
        <v>0</v>
      </c>
      <c r="M904" s="4">
        <f t="shared" si="545"/>
        <v>0</v>
      </c>
      <c r="N904" s="4">
        <f t="shared" si="546"/>
        <v>0</v>
      </c>
      <c r="O904" s="5">
        <f t="shared" si="547"/>
        <v>27</v>
      </c>
      <c r="P904" s="6" t="str">
        <f t="shared" si="548"/>
        <v>30 Days</v>
      </c>
      <c r="Q904" s="7">
        <v>42855</v>
      </c>
      <c r="R904" s="6" t="s">
        <v>2178</v>
      </c>
      <c r="S904" s="1">
        <v>137.84</v>
      </c>
      <c r="T904" s="1" t="s">
        <v>31</v>
      </c>
      <c r="V904" s="1" t="s">
        <v>13</v>
      </c>
      <c r="W904" s="2">
        <v>42828</v>
      </c>
      <c r="X904" s="1" t="s">
        <v>14</v>
      </c>
      <c r="Y904" s="1" t="str">
        <f>"4912906289"</f>
        <v>4912906289</v>
      </c>
    </row>
    <row r="905" spans="1:25" x14ac:dyDescent="0.2">
      <c r="A905" s="9" t="s">
        <v>1130</v>
      </c>
      <c r="B905" s="10">
        <v>42814</v>
      </c>
      <c r="C905" s="9" t="s">
        <v>1131</v>
      </c>
      <c r="D905" s="9" t="s">
        <v>270</v>
      </c>
      <c r="E905" s="9" t="s">
        <v>2190</v>
      </c>
      <c r="F905" s="9">
        <v>0</v>
      </c>
      <c r="G905" s="8">
        <v>9107</v>
      </c>
      <c r="H905" s="4">
        <f t="shared" si="540"/>
        <v>0</v>
      </c>
      <c r="I905" s="4">
        <f t="shared" si="541"/>
        <v>9107</v>
      </c>
      <c r="J905" s="4">
        <f t="shared" si="542"/>
        <v>0</v>
      </c>
      <c r="K905" s="4">
        <f t="shared" si="543"/>
        <v>0</v>
      </c>
      <c r="L905" s="4">
        <f t="shared" si="544"/>
        <v>0</v>
      </c>
      <c r="M905" s="4">
        <f t="shared" si="545"/>
        <v>0</v>
      </c>
      <c r="N905" s="4">
        <f t="shared" si="546"/>
        <v>0</v>
      </c>
      <c r="O905" s="5">
        <f t="shared" si="547"/>
        <v>41</v>
      </c>
      <c r="P905" s="6" t="str">
        <f t="shared" si="548"/>
        <v>31 TO 45 Days</v>
      </c>
      <c r="Q905" s="7">
        <v>42855</v>
      </c>
      <c r="R905" s="6" t="s">
        <v>2178</v>
      </c>
      <c r="Y905" s="1" t="str">
        <f>"4560218261"</f>
        <v>4560218261</v>
      </c>
    </row>
    <row r="906" spans="1:25" x14ac:dyDescent="0.2">
      <c r="A906" s="9" t="s">
        <v>1178</v>
      </c>
      <c r="B906" s="10">
        <v>42815</v>
      </c>
      <c r="C906" s="9" t="s">
        <v>1179</v>
      </c>
      <c r="D906" s="9" t="s">
        <v>164</v>
      </c>
      <c r="E906" s="9" t="s">
        <v>2190</v>
      </c>
      <c r="F906" s="9">
        <v>0</v>
      </c>
      <c r="G906" s="8">
        <v>9107</v>
      </c>
      <c r="H906" s="4">
        <f t="shared" si="540"/>
        <v>0</v>
      </c>
      <c r="I906" s="4">
        <f t="shared" si="541"/>
        <v>9107</v>
      </c>
      <c r="J906" s="4">
        <f t="shared" si="542"/>
        <v>0</v>
      </c>
      <c r="K906" s="4">
        <f t="shared" si="543"/>
        <v>0</v>
      </c>
      <c r="L906" s="4">
        <f t="shared" si="544"/>
        <v>0</v>
      </c>
      <c r="M906" s="4">
        <f t="shared" si="545"/>
        <v>0</v>
      </c>
      <c r="N906" s="4">
        <f t="shared" si="546"/>
        <v>0</v>
      </c>
      <c r="O906" s="5">
        <f t="shared" si="547"/>
        <v>40</v>
      </c>
      <c r="P906" s="6" t="str">
        <f t="shared" si="548"/>
        <v>31 TO 45 Days</v>
      </c>
      <c r="Q906" s="7">
        <v>42855</v>
      </c>
      <c r="R906" s="6" t="s">
        <v>2178</v>
      </c>
      <c r="Y906" s="1" t="str">
        <f>"4711235868"</f>
        <v>4711235868</v>
      </c>
    </row>
    <row r="907" spans="1:25" x14ac:dyDescent="0.2">
      <c r="A907" s="9" t="s">
        <v>1140</v>
      </c>
      <c r="B907" s="10">
        <v>42814</v>
      </c>
      <c r="C907" s="9" t="s">
        <v>1141</v>
      </c>
      <c r="D907" s="9" t="s">
        <v>778</v>
      </c>
      <c r="E907" s="9" t="s">
        <v>2190</v>
      </c>
      <c r="F907" s="9">
        <v>200000</v>
      </c>
      <c r="G907" s="8">
        <v>9113</v>
      </c>
      <c r="H907" s="4">
        <f t="shared" si="540"/>
        <v>0</v>
      </c>
      <c r="I907" s="4">
        <f t="shared" si="541"/>
        <v>9113</v>
      </c>
      <c r="J907" s="4">
        <f t="shared" si="542"/>
        <v>0</v>
      </c>
      <c r="K907" s="4">
        <f t="shared" si="543"/>
        <v>0</v>
      </c>
      <c r="L907" s="4">
        <f t="shared" si="544"/>
        <v>0</v>
      </c>
      <c r="M907" s="4">
        <f t="shared" si="545"/>
        <v>0</v>
      </c>
      <c r="N907" s="4">
        <f t="shared" si="546"/>
        <v>0</v>
      </c>
      <c r="O907" s="5">
        <f t="shared" si="547"/>
        <v>41</v>
      </c>
      <c r="P907" s="6" t="str">
        <f t="shared" si="548"/>
        <v>31 TO 45 Days</v>
      </c>
      <c r="Q907" s="7">
        <v>42855</v>
      </c>
      <c r="R907" s="6" t="s">
        <v>2178</v>
      </c>
      <c r="Y907" s="1" t="str">
        <f>"423610075"</f>
        <v>423610075</v>
      </c>
    </row>
    <row r="908" spans="1:25" x14ac:dyDescent="0.2">
      <c r="A908" s="9" t="s">
        <v>721</v>
      </c>
      <c r="B908" s="10">
        <v>42791</v>
      </c>
      <c r="C908" s="9" t="s">
        <v>722</v>
      </c>
      <c r="D908" s="9" t="s">
        <v>133</v>
      </c>
      <c r="E908" s="9" t="s">
        <v>2190</v>
      </c>
      <c r="F908" s="9">
        <v>20000000</v>
      </c>
      <c r="G908" s="8">
        <v>9135</v>
      </c>
      <c r="H908" s="4">
        <f t="shared" si="540"/>
        <v>0</v>
      </c>
      <c r="I908" s="4">
        <f t="shared" si="541"/>
        <v>0</v>
      </c>
      <c r="J908" s="4">
        <f t="shared" si="542"/>
        <v>0</v>
      </c>
      <c r="K908" s="4">
        <f t="shared" si="543"/>
        <v>9135</v>
      </c>
      <c r="L908" s="4">
        <f t="shared" si="544"/>
        <v>0</v>
      </c>
      <c r="M908" s="4">
        <f t="shared" si="545"/>
        <v>0</v>
      </c>
      <c r="N908" s="4">
        <f t="shared" si="546"/>
        <v>9135</v>
      </c>
      <c r="O908" s="5">
        <f t="shared" si="547"/>
        <v>64</v>
      </c>
      <c r="P908" s="6" t="str">
        <f t="shared" si="548"/>
        <v>61 To 90 Days</v>
      </c>
      <c r="Q908" s="7">
        <v>42855</v>
      </c>
      <c r="R908" s="6" t="s">
        <v>2178</v>
      </c>
      <c r="V908" s="1" t="s">
        <v>13</v>
      </c>
      <c r="W908" s="2">
        <v>42796</v>
      </c>
      <c r="X908" s="1" t="s">
        <v>14</v>
      </c>
      <c r="Y908" s="1" t="str">
        <f>"4750386664"</f>
        <v>4750386664</v>
      </c>
    </row>
    <row r="909" spans="1:25" x14ac:dyDescent="0.2">
      <c r="A909" s="9" t="s">
        <v>1162</v>
      </c>
      <c r="B909" s="10">
        <v>42815</v>
      </c>
      <c r="C909" s="9" t="s">
        <v>1163</v>
      </c>
      <c r="D909" s="9" t="s">
        <v>140</v>
      </c>
      <c r="E909" s="9" t="s">
        <v>2190</v>
      </c>
      <c r="F909" s="9">
        <v>0</v>
      </c>
      <c r="G909" s="8">
        <v>9154</v>
      </c>
      <c r="H909" s="4">
        <f t="shared" si="540"/>
        <v>0</v>
      </c>
      <c r="I909" s="4">
        <f t="shared" si="541"/>
        <v>9154</v>
      </c>
      <c r="J909" s="4">
        <f t="shared" si="542"/>
        <v>0</v>
      </c>
      <c r="K909" s="4">
        <f t="shared" si="543"/>
        <v>0</v>
      </c>
      <c r="L909" s="4">
        <f t="shared" si="544"/>
        <v>0</v>
      </c>
      <c r="M909" s="4">
        <f t="shared" si="545"/>
        <v>0</v>
      </c>
      <c r="N909" s="4">
        <f t="shared" si="546"/>
        <v>0</v>
      </c>
      <c r="O909" s="5">
        <f t="shared" si="547"/>
        <v>40</v>
      </c>
      <c r="P909" s="6" t="str">
        <f t="shared" si="548"/>
        <v>31 TO 45 Days</v>
      </c>
      <c r="Q909" s="7">
        <v>42855</v>
      </c>
      <c r="R909" s="6" t="s">
        <v>2178</v>
      </c>
      <c r="Y909" s="1" t="str">
        <f>"410291013"</f>
        <v>410291013</v>
      </c>
    </row>
    <row r="910" spans="1:25" x14ac:dyDescent="0.2">
      <c r="A910" s="9" t="s">
        <v>795</v>
      </c>
      <c r="B910" s="10">
        <v>42794</v>
      </c>
      <c r="C910" s="9" t="s">
        <v>796</v>
      </c>
      <c r="D910" s="9" t="s">
        <v>666</v>
      </c>
      <c r="E910" s="9" t="s">
        <v>2190</v>
      </c>
      <c r="F910" s="9">
        <v>3377500</v>
      </c>
      <c r="G910" s="8">
        <v>9165</v>
      </c>
      <c r="H910" s="4">
        <f t="shared" si="540"/>
        <v>0</v>
      </c>
      <c r="I910" s="4">
        <f t="shared" si="541"/>
        <v>0</v>
      </c>
      <c r="J910" s="4">
        <f t="shared" si="542"/>
        <v>0</v>
      </c>
      <c r="K910" s="4">
        <f t="shared" si="543"/>
        <v>9165</v>
      </c>
      <c r="L910" s="4">
        <f t="shared" si="544"/>
        <v>0</v>
      </c>
      <c r="M910" s="4">
        <f t="shared" si="545"/>
        <v>0</v>
      </c>
      <c r="N910" s="4">
        <f t="shared" si="546"/>
        <v>9165</v>
      </c>
      <c r="O910" s="5">
        <f t="shared" si="547"/>
        <v>61</v>
      </c>
      <c r="P910" s="6" t="str">
        <f t="shared" si="548"/>
        <v>61 To 90 Days</v>
      </c>
      <c r="Q910" s="7">
        <v>42855</v>
      </c>
      <c r="R910" s="6" t="s">
        <v>2178</v>
      </c>
      <c r="S910" s="1">
        <v>134.86000000000001</v>
      </c>
      <c r="T910" s="1" t="s">
        <v>31</v>
      </c>
      <c r="V910" s="1" t="s">
        <v>13</v>
      </c>
      <c r="W910" s="2">
        <v>42794</v>
      </c>
      <c r="X910" s="1" t="s">
        <v>14</v>
      </c>
      <c r="Y910" s="1" t="s">
        <v>797</v>
      </c>
    </row>
    <row r="911" spans="1:25" x14ac:dyDescent="0.2">
      <c r="A911" s="9" t="s">
        <v>1113</v>
      </c>
      <c r="B911" s="10">
        <v>42814</v>
      </c>
      <c r="C911" s="9" t="s">
        <v>1114</v>
      </c>
      <c r="D911" s="9" t="s">
        <v>148</v>
      </c>
      <c r="E911" s="9" t="s">
        <v>2190</v>
      </c>
      <c r="F911" s="9">
        <v>500000</v>
      </c>
      <c r="G911" s="8">
        <v>9171</v>
      </c>
      <c r="H911" s="4">
        <f t="shared" si="540"/>
        <v>0</v>
      </c>
      <c r="I911" s="4">
        <f t="shared" si="541"/>
        <v>9171</v>
      </c>
      <c r="J911" s="4">
        <f t="shared" si="542"/>
        <v>0</v>
      </c>
      <c r="K911" s="4">
        <f t="shared" si="543"/>
        <v>0</v>
      </c>
      <c r="L911" s="4">
        <f t="shared" si="544"/>
        <v>0</v>
      </c>
      <c r="M911" s="4">
        <f t="shared" si="545"/>
        <v>0</v>
      </c>
      <c r="N911" s="4">
        <f t="shared" si="546"/>
        <v>0</v>
      </c>
      <c r="O911" s="5">
        <f t="shared" si="547"/>
        <v>41</v>
      </c>
      <c r="P911" s="6" t="str">
        <f t="shared" si="548"/>
        <v>31 TO 45 Days</v>
      </c>
      <c r="Q911" s="7">
        <v>42855</v>
      </c>
      <c r="R911" s="6" t="s">
        <v>2178</v>
      </c>
      <c r="Y911" s="1" t="str">
        <f>"4750387786"</f>
        <v>4750387786</v>
      </c>
    </row>
    <row r="912" spans="1:25" x14ac:dyDescent="0.2">
      <c r="A912" s="9" t="s">
        <v>1910</v>
      </c>
      <c r="B912" s="10">
        <v>42835</v>
      </c>
      <c r="C912" s="9" t="s">
        <v>1911</v>
      </c>
      <c r="D912" s="9" t="s">
        <v>565</v>
      </c>
      <c r="E912" s="9" t="s">
        <v>2190</v>
      </c>
      <c r="F912" s="9">
        <v>500000</v>
      </c>
      <c r="G912" s="8">
        <v>9178</v>
      </c>
      <c r="H912" s="4">
        <f t="shared" si="540"/>
        <v>9178</v>
      </c>
      <c r="I912" s="4">
        <f t="shared" si="541"/>
        <v>0</v>
      </c>
      <c r="J912" s="4">
        <f t="shared" si="542"/>
        <v>0</v>
      </c>
      <c r="K912" s="4">
        <f t="shared" si="543"/>
        <v>0</v>
      </c>
      <c r="L912" s="4">
        <f t="shared" si="544"/>
        <v>0</v>
      </c>
      <c r="M912" s="4">
        <f t="shared" si="545"/>
        <v>0</v>
      </c>
      <c r="N912" s="4">
        <f t="shared" si="546"/>
        <v>0</v>
      </c>
      <c r="O912" s="5">
        <f t="shared" si="547"/>
        <v>20</v>
      </c>
      <c r="P912" s="6" t="str">
        <f t="shared" si="548"/>
        <v>30 Days</v>
      </c>
      <c r="Q912" s="7">
        <v>42855</v>
      </c>
      <c r="R912" s="6" t="str">
        <f>VLOOKUP(A912:A5706,[1]BOM_INV_OPERATOR_DETAILS_OUTPUT!$A$2:$D$1233,4,FALSE)</f>
        <v>AI</v>
      </c>
      <c r="Y912" s="1" t="str">
        <f>"4190211699"</f>
        <v>4190211699</v>
      </c>
    </row>
    <row r="913" spans="1:25" x14ac:dyDescent="0.2">
      <c r="A913" s="9" t="s">
        <v>1574</v>
      </c>
      <c r="B913" s="10">
        <v>42826</v>
      </c>
      <c r="C913" s="9" t="s">
        <v>1575</v>
      </c>
      <c r="D913" s="9" t="s">
        <v>270</v>
      </c>
      <c r="E913" s="9" t="s">
        <v>2190</v>
      </c>
      <c r="F913" s="9">
        <v>0</v>
      </c>
      <c r="G913" s="8">
        <v>9181</v>
      </c>
      <c r="H913" s="4">
        <f t="shared" si="540"/>
        <v>9181</v>
      </c>
      <c r="I913" s="4">
        <f t="shared" si="541"/>
        <v>0</v>
      </c>
      <c r="J913" s="4">
        <f t="shared" si="542"/>
        <v>0</v>
      </c>
      <c r="K913" s="4">
        <f t="shared" si="543"/>
        <v>0</v>
      </c>
      <c r="L913" s="4">
        <f t="shared" si="544"/>
        <v>0</v>
      </c>
      <c r="M913" s="4">
        <f t="shared" si="545"/>
        <v>0</v>
      </c>
      <c r="N913" s="4">
        <f t="shared" si="546"/>
        <v>0</v>
      </c>
      <c r="O913" s="5">
        <f t="shared" si="547"/>
        <v>29</v>
      </c>
      <c r="P913" s="6" t="str">
        <f t="shared" si="548"/>
        <v>30 Days</v>
      </c>
      <c r="Q913" s="7">
        <v>42855</v>
      </c>
      <c r="R913" s="6" t="s">
        <v>2178</v>
      </c>
      <c r="Y913" s="1" t="str">
        <f>"416266021"</f>
        <v>416266021</v>
      </c>
    </row>
    <row r="914" spans="1:25" x14ac:dyDescent="0.2">
      <c r="A914" s="9" t="s">
        <v>2129</v>
      </c>
      <c r="B914" s="10">
        <v>42840</v>
      </c>
      <c r="C914" s="9" t="s">
        <v>2130</v>
      </c>
      <c r="D914" s="9" t="s">
        <v>757</v>
      </c>
      <c r="E914" s="9" t="s">
        <v>2190</v>
      </c>
      <c r="F914" s="9">
        <v>0</v>
      </c>
      <c r="G914" s="8">
        <v>9199</v>
      </c>
      <c r="H914" s="4">
        <f t="shared" ref="H914:H935" si="549">IF(O914&lt;=30,G914,0)</f>
        <v>9199</v>
      </c>
      <c r="I914" s="4">
        <f t="shared" ref="I914:I935" si="550">IF(AND(O914&gt;30,O914&lt;=45),G914,0)</f>
        <v>0</v>
      </c>
      <c r="J914" s="4">
        <f t="shared" ref="J914:J935" si="551">IF(AND(O914&gt;45,O914&lt;=60),G914,0)</f>
        <v>0</v>
      </c>
      <c r="K914" s="4">
        <f t="shared" ref="K914:K935" si="552">IF(AND(O914&gt;60,O914&lt;=90),G914,0)</f>
        <v>0</v>
      </c>
      <c r="L914" s="4">
        <f t="shared" ref="L914:L935" si="553">IF(AND(O914&gt;90,O914&lt;=120),G914,0)</f>
        <v>0</v>
      </c>
      <c r="M914" s="4">
        <f t="shared" ref="M914:M935" si="554">IF(O914&gt;120,G914,0)</f>
        <v>0</v>
      </c>
      <c r="N914" s="4">
        <f t="shared" ref="N914:N935" si="555">IF(O914&gt;60,G914,0)</f>
        <v>0</v>
      </c>
      <c r="O914" s="5">
        <f t="shared" ref="O914:O935" si="556">Q914-B914</f>
        <v>15</v>
      </c>
      <c r="P914" s="6" t="str">
        <f t="shared" ref="P914:P935" si="557">IF(AND(O914&lt;=30),"30 Days",IF(AND(O914&gt;30,O914&lt;=45),"31 TO 45 Days",IF(AND(O914&gt;45,O914&lt;=60),"46 To 60 Days",IF(AND(O914&gt;60,O914&lt;=90),"61 To 90 Days",IF(AND(O914&gt;90,O914&lt;=120),"91 To 120 Days",IF(AND(O914&gt;120),"Plus120Days",))))))</f>
        <v>30 Days</v>
      </c>
      <c r="Q914" s="7">
        <v>42855</v>
      </c>
      <c r="R914" s="6" t="str">
        <f>VLOOKUP(A914:A5713,[1]BOM_INV_OPERATOR_DETAILS_OUTPUT!$A$2:$D$1233,4,FALSE)</f>
        <v>AI</v>
      </c>
      <c r="Y914" s="1" t="str">
        <f>"421024185"</f>
        <v>421024185</v>
      </c>
    </row>
    <row r="915" spans="1:25" x14ac:dyDescent="0.2">
      <c r="A915" s="9" t="s">
        <v>319</v>
      </c>
      <c r="B915" s="10">
        <v>42748</v>
      </c>
      <c r="C915" s="9" t="s">
        <v>320</v>
      </c>
      <c r="D915" s="9" t="s">
        <v>133</v>
      </c>
      <c r="E915" s="9" t="s">
        <v>2190</v>
      </c>
      <c r="F915" s="9">
        <v>20000000</v>
      </c>
      <c r="G915" s="8">
        <v>9200</v>
      </c>
      <c r="H915" s="4">
        <f t="shared" si="549"/>
        <v>0</v>
      </c>
      <c r="I915" s="4">
        <f t="shared" si="550"/>
        <v>0</v>
      </c>
      <c r="J915" s="4">
        <f t="shared" si="551"/>
        <v>0</v>
      </c>
      <c r="K915" s="4">
        <f t="shared" si="552"/>
        <v>0</v>
      </c>
      <c r="L915" s="4">
        <f t="shared" si="553"/>
        <v>9200</v>
      </c>
      <c r="M915" s="4">
        <f t="shared" si="554"/>
        <v>0</v>
      </c>
      <c r="N915" s="4">
        <f t="shared" si="555"/>
        <v>9200</v>
      </c>
      <c r="O915" s="5">
        <f t="shared" si="556"/>
        <v>107</v>
      </c>
      <c r="P915" s="6" t="str">
        <f t="shared" si="557"/>
        <v>91 To 120 Days</v>
      </c>
      <c r="Q915" s="7">
        <v>42855</v>
      </c>
      <c r="R915" s="6" t="s">
        <v>2178</v>
      </c>
      <c r="V915" s="1" t="s">
        <v>13</v>
      </c>
      <c r="Y915" s="1" t="str">
        <f>"4060580595"</f>
        <v>4060580595</v>
      </c>
    </row>
    <row r="916" spans="1:25" x14ac:dyDescent="0.2">
      <c r="A916" s="9" t="s">
        <v>397</v>
      </c>
      <c r="B916" s="10">
        <v>42763</v>
      </c>
      <c r="C916" s="9" t="s">
        <v>398</v>
      </c>
      <c r="D916" s="9" t="s">
        <v>133</v>
      </c>
      <c r="E916" s="9" t="s">
        <v>2190</v>
      </c>
      <c r="F916" s="9">
        <v>20000000</v>
      </c>
      <c r="G916" s="8">
        <v>9244</v>
      </c>
      <c r="H916" s="4">
        <f t="shared" si="549"/>
        <v>0</v>
      </c>
      <c r="I916" s="4">
        <f t="shared" si="550"/>
        <v>0</v>
      </c>
      <c r="J916" s="4">
        <f t="shared" si="551"/>
        <v>0</v>
      </c>
      <c r="K916" s="4">
        <f t="shared" si="552"/>
        <v>0</v>
      </c>
      <c r="L916" s="4">
        <f t="shared" si="553"/>
        <v>9244</v>
      </c>
      <c r="M916" s="4">
        <f t="shared" si="554"/>
        <v>0</v>
      </c>
      <c r="N916" s="4">
        <f t="shared" si="555"/>
        <v>9244</v>
      </c>
      <c r="O916" s="5">
        <f t="shared" si="556"/>
        <v>92</v>
      </c>
      <c r="P916" s="6" t="str">
        <f t="shared" si="557"/>
        <v>91 To 120 Days</v>
      </c>
      <c r="Q916" s="7">
        <v>42855</v>
      </c>
      <c r="R916" s="6" t="s">
        <v>2178</v>
      </c>
      <c r="V916" s="1" t="s">
        <v>13</v>
      </c>
      <c r="W916" s="2">
        <v>42765</v>
      </c>
      <c r="X916" s="1" t="s">
        <v>14</v>
      </c>
      <c r="Y916" s="1" t="str">
        <f>"4052199304"</f>
        <v>4052199304</v>
      </c>
    </row>
    <row r="917" spans="1:25" x14ac:dyDescent="0.2">
      <c r="A917" s="9" t="s">
        <v>1409</v>
      </c>
      <c r="B917" s="10">
        <v>42822</v>
      </c>
      <c r="C917" s="9" t="s">
        <v>1410</v>
      </c>
      <c r="D917" s="9" t="s">
        <v>17</v>
      </c>
      <c r="E917" s="9" t="s">
        <v>2190</v>
      </c>
      <c r="F917" s="9">
        <v>500000</v>
      </c>
      <c r="G917" s="8">
        <v>9249</v>
      </c>
      <c r="H917" s="4">
        <f t="shared" si="549"/>
        <v>0</v>
      </c>
      <c r="I917" s="4">
        <f t="shared" si="550"/>
        <v>9249</v>
      </c>
      <c r="J917" s="4">
        <f t="shared" si="551"/>
        <v>0</v>
      </c>
      <c r="K917" s="4">
        <f t="shared" si="552"/>
        <v>0</v>
      </c>
      <c r="L917" s="4">
        <f t="shared" si="553"/>
        <v>0</v>
      </c>
      <c r="M917" s="4">
        <f t="shared" si="554"/>
        <v>0</v>
      </c>
      <c r="N917" s="4">
        <f t="shared" si="555"/>
        <v>0</v>
      </c>
      <c r="O917" s="5">
        <f t="shared" si="556"/>
        <v>33</v>
      </c>
      <c r="P917" s="6" t="str">
        <f t="shared" si="557"/>
        <v>31 TO 45 Days</v>
      </c>
      <c r="Q917" s="7">
        <v>42855</v>
      </c>
      <c r="R917" s="6" t="s">
        <v>2178</v>
      </c>
      <c r="Y917" s="1" t="str">
        <f>"4570270592"</f>
        <v>4570270592</v>
      </c>
    </row>
    <row r="918" spans="1:25" x14ac:dyDescent="0.2">
      <c r="A918" s="9" t="s">
        <v>664</v>
      </c>
      <c r="B918" s="10">
        <v>42788</v>
      </c>
      <c r="C918" s="9" t="s">
        <v>665</v>
      </c>
      <c r="D918" s="9" t="s">
        <v>145</v>
      </c>
      <c r="E918" s="9" t="s">
        <v>2190</v>
      </c>
      <c r="F918" s="9">
        <v>2100000</v>
      </c>
      <c r="G918" s="8">
        <v>9253</v>
      </c>
      <c r="H918" s="4">
        <f t="shared" si="549"/>
        <v>0</v>
      </c>
      <c r="I918" s="4">
        <f t="shared" si="550"/>
        <v>0</v>
      </c>
      <c r="J918" s="4">
        <f t="shared" si="551"/>
        <v>0</v>
      </c>
      <c r="K918" s="4">
        <f t="shared" si="552"/>
        <v>9253</v>
      </c>
      <c r="L918" s="4">
        <f t="shared" si="553"/>
        <v>0</v>
      </c>
      <c r="M918" s="4">
        <f t="shared" si="554"/>
        <v>0</v>
      </c>
      <c r="N918" s="4">
        <f t="shared" si="555"/>
        <v>9253</v>
      </c>
      <c r="O918" s="5">
        <f t="shared" si="556"/>
        <v>67</v>
      </c>
      <c r="P918" s="6" t="str">
        <f t="shared" si="557"/>
        <v>61 To 90 Days</v>
      </c>
      <c r="Q918" s="7">
        <v>42855</v>
      </c>
      <c r="R918" s="6" t="s">
        <v>2178</v>
      </c>
      <c r="Y918" s="1" t="str">
        <f>"419165672"</f>
        <v>419165672</v>
      </c>
    </row>
    <row r="919" spans="1:25" x14ac:dyDescent="0.2">
      <c r="A919" s="9" t="s">
        <v>1045</v>
      </c>
      <c r="B919" s="10">
        <v>42810</v>
      </c>
      <c r="C919" s="9" t="s">
        <v>1046</v>
      </c>
      <c r="D919" s="9" t="s">
        <v>666</v>
      </c>
      <c r="E919" s="9" t="s">
        <v>2190</v>
      </c>
      <c r="F919" s="9">
        <v>3377500</v>
      </c>
      <c r="G919" s="8">
        <v>9275</v>
      </c>
      <c r="H919" s="4">
        <f t="shared" si="549"/>
        <v>0</v>
      </c>
      <c r="I919" s="4">
        <f t="shared" si="550"/>
        <v>9275</v>
      </c>
      <c r="J919" s="4">
        <f t="shared" si="551"/>
        <v>0</v>
      </c>
      <c r="K919" s="4">
        <f t="shared" si="552"/>
        <v>0</v>
      </c>
      <c r="L919" s="4">
        <f t="shared" si="553"/>
        <v>0</v>
      </c>
      <c r="M919" s="4">
        <f t="shared" si="554"/>
        <v>0</v>
      </c>
      <c r="N919" s="4">
        <f t="shared" si="555"/>
        <v>0</v>
      </c>
      <c r="O919" s="5">
        <f t="shared" si="556"/>
        <v>45</v>
      </c>
      <c r="P919" s="6" t="str">
        <f t="shared" si="557"/>
        <v>31 TO 45 Days</v>
      </c>
      <c r="Q919" s="7">
        <v>42855</v>
      </c>
      <c r="R919" s="6" t="s">
        <v>2178</v>
      </c>
      <c r="S919" s="1">
        <v>139.5</v>
      </c>
      <c r="T919" s="1" t="s">
        <v>31</v>
      </c>
      <c r="V919" s="1" t="s">
        <v>13</v>
      </c>
      <c r="W919" s="2">
        <v>42811</v>
      </c>
      <c r="X919" s="1" t="s">
        <v>14</v>
      </c>
      <c r="Y919" s="1" t="s">
        <v>1047</v>
      </c>
    </row>
    <row r="920" spans="1:25" x14ac:dyDescent="0.2">
      <c r="A920" s="9" t="s">
        <v>1138</v>
      </c>
      <c r="B920" s="10">
        <v>42814</v>
      </c>
      <c r="C920" s="9" t="s">
        <v>1139</v>
      </c>
      <c r="D920" s="9" t="s">
        <v>183</v>
      </c>
      <c r="E920" s="9" t="s">
        <v>2190</v>
      </c>
      <c r="F920" s="9">
        <v>500000</v>
      </c>
      <c r="G920" s="8">
        <v>9275</v>
      </c>
      <c r="H920" s="4">
        <f t="shared" si="549"/>
        <v>0</v>
      </c>
      <c r="I920" s="4">
        <f t="shared" si="550"/>
        <v>9275</v>
      </c>
      <c r="J920" s="4">
        <f t="shared" si="551"/>
        <v>0</v>
      </c>
      <c r="K920" s="4">
        <f t="shared" si="552"/>
        <v>0</v>
      </c>
      <c r="L920" s="4">
        <f t="shared" si="553"/>
        <v>0</v>
      </c>
      <c r="M920" s="4">
        <f t="shared" si="554"/>
        <v>0</v>
      </c>
      <c r="N920" s="4">
        <f t="shared" si="555"/>
        <v>0</v>
      </c>
      <c r="O920" s="5">
        <f t="shared" si="556"/>
        <v>41</v>
      </c>
      <c r="P920" s="6" t="str">
        <f t="shared" si="557"/>
        <v>31 TO 45 Days</v>
      </c>
      <c r="Q920" s="7">
        <v>42855</v>
      </c>
      <c r="R920" s="6" t="s">
        <v>2178</v>
      </c>
      <c r="Y920" s="1" t="str">
        <f>"423610040"</f>
        <v>423610040</v>
      </c>
    </row>
    <row r="921" spans="1:25" x14ac:dyDescent="0.2">
      <c r="A921" s="9" t="s">
        <v>149</v>
      </c>
      <c r="B921" s="10">
        <v>42768</v>
      </c>
      <c r="C921" s="9" t="s">
        <v>150</v>
      </c>
      <c r="D921" s="9" t="s">
        <v>148</v>
      </c>
      <c r="E921" s="9" t="s">
        <v>2190</v>
      </c>
      <c r="F921" s="9">
        <v>500000</v>
      </c>
      <c r="G921" s="8">
        <v>9280</v>
      </c>
      <c r="H921" s="4">
        <f t="shared" si="549"/>
        <v>0</v>
      </c>
      <c r="I921" s="4">
        <f t="shared" si="550"/>
        <v>0</v>
      </c>
      <c r="J921" s="4">
        <f t="shared" si="551"/>
        <v>0</v>
      </c>
      <c r="K921" s="4">
        <f t="shared" si="552"/>
        <v>9280</v>
      </c>
      <c r="L921" s="4">
        <f t="shared" si="553"/>
        <v>0</v>
      </c>
      <c r="M921" s="4">
        <f t="shared" si="554"/>
        <v>0</v>
      </c>
      <c r="N921" s="4">
        <f t="shared" si="555"/>
        <v>9280</v>
      </c>
      <c r="O921" s="5">
        <f t="shared" si="556"/>
        <v>87</v>
      </c>
      <c r="P921" s="6" t="str">
        <f t="shared" si="557"/>
        <v>61 To 90 Days</v>
      </c>
      <c r="Q921" s="7">
        <v>42855</v>
      </c>
      <c r="R921" s="6" t="s">
        <v>2178</v>
      </c>
      <c r="Y921" s="1" t="str">
        <f>"4750385639"</f>
        <v>4750385639</v>
      </c>
    </row>
    <row r="922" spans="1:25" x14ac:dyDescent="0.2">
      <c r="A922" s="9" t="s">
        <v>1156</v>
      </c>
      <c r="B922" s="10">
        <v>42815</v>
      </c>
      <c r="C922" s="9" t="s">
        <v>1157</v>
      </c>
      <c r="D922" s="9" t="s">
        <v>140</v>
      </c>
      <c r="E922" s="9" t="s">
        <v>2190</v>
      </c>
      <c r="F922" s="9">
        <v>0</v>
      </c>
      <c r="G922" s="8">
        <v>9284</v>
      </c>
      <c r="H922" s="4">
        <f t="shared" si="549"/>
        <v>0</v>
      </c>
      <c r="I922" s="4">
        <f t="shared" si="550"/>
        <v>9284</v>
      </c>
      <c r="J922" s="4">
        <f t="shared" si="551"/>
        <v>0</v>
      </c>
      <c r="K922" s="4">
        <f t="shared" si="552"/>
        <v>0</v>
      </c>
      <c r="L922" s="4">
        <f t="shared" si="553"/>
        <v>0</v>
      </c>
      <c r="M922" s="4">
        <f t="shared" si="554"/>
        <v>0</v>
      </c>
      <c r="N922" s="4">
        <f t="shared" si="555"/>
        <v>0</v>
      </c>
      <c r="O922" s="5">
        <f t="shared" si="556"/>
        <v>40</v>
      </c>
      <c r="P922" s="6" t="str">
        <f t="shared" si="557"/>
        <v>31 TO 45 Days</v>
      </c>
      <c r="Q922" s="7">
        <v>42855</v>
      </c>
      <c r="R922" s="6" t="s">
        <v>2178</v>
      </c>
      <c r="Y922" s="1" t="str">
        <f>"4750387955"</f>
        <v>4750387955</v>
      </c>
    </row>
    <row r="923" spans="1:25" x14ac:dyDescent="0.2">
      <c r="A923" s="9" t="s">
        <v>1241</v>
      </c>
      <c r="B923" s="10">
        <v>42817</v>
      </c>
      <c r="C923" s="9" t="s">
        <v>1242</v>
      </c>
      <c r="D923" s="9" t="s">
        <v>565</v>
      </c>
      <c r="E923" s="9" t="s">
        <v>2190</v>
      </c>
      <c r="F923" s="9">
        <v>500000</v>
      </c>
      <c r="G923" s="8">
        <v>9285</v>
      </c>
      <c r="H923" s="4">
        <f t="shared" si="549"/>
        <v>0</v>
      </c>
      <c r="I923" s="4">
        <f t="shared" si="550"/>
        <v>9285</v>
      </c>
      <c r="J923" s="4">
        <f t="shared" si="551"/>
        <v>0</v>
      </c>
      <c r="K923" s="4">
        <f t="shared" si="552"/>
        <v>0</v>
      </c>
      <c r="L923" s="4">
        <f t="shared" si="553"/>
        <v>0</v>
      </c>
      <c r="M923" s="4">
        <f t="shared" si="554"/>
        <v>0</v>
      </c>
      <c r="N923" s="4">
        <f t="shared" si="555"/>
        <v>0</v>
      </c>
      <c r="O923" s="5">
        <f t="shared" si="556"/>
        <v>38</v>
      </c>
      <c r="P923" s="6" t="str">
        <f t="shared" si="557"/>
        <v>31 TO 45 Days</v>
      </c>
      <c r="Q923" s="7">
        <v>42855</v>
      </c>
      <c r="R923" s="6" t="s">
        <v>2178</v>
      </c>
      <c r="Y923" s="1" t="str">
        <f>"4190211236"</f>
        <v>4190211236</v>
      </c>
    </row>
    <row r="924" spans="1:25" x14ac:dyDescent="0.2">
      <c r="A924" s="9" t="s">
        <v>1258</v>
      </c>
      <c r="B924" s="10">
        <v>42818</v>
      </c>
      <c r="C924" s="9" t="s">
        <v>1259</v>
      </c>
      <c r="D924" s="9" t="s">
        <v>565</v>
      </c>
      <c r="E924" s="9" t="s">
        <v>2190</v>
      </c>
      <c r="F924" s="9">
        <v>500000</v>
      </c>
      <c r="G924" s="8">
        <v>9295</v>
      </c>
      <c r="H924" s="4">
        <f t="shared" si="549"/>
        <v>0</v>
      </c>
      <c r="I924" s="4">
        <f t="shared" si="550"/>
        <v>9295</v>
      </c>
      <c r="J924" s="4">
        <f t="shared" si="551"/>
        <v>0</v>
      </c>
      <c r="K924" s="4">
        <f t="shared" si="552"/>
        <v>0</v>
      </c>
      <c r="L924" s="4">
        <f t="shared" si="553"/>
        <v>0</v>
      </c>
      <c r="M924" s="4">
        <f t="shared" si="554"/>
        <v>0</v>
      </c>
      <c r="N924" s="4">
        <f t="shared" si="555"/>
        <v>0</v>
      </c>
      <c r="O924" s="5">
        <f t="shared" si="556"/>
        <v>37</v>
      </c>
      <c r="P924" s="6" t="str">
        <f t="shared" si="557"/>
        <v>31 TO 45 Days</v>
      </c>
      <c r="Q924" s="7">
        <v>42855</v>
      </c>
      <c r="R924" s="6" t="s">
        <v>2178</v>
      </c>
      <c r="Y924" s="1" t="str">
        <f>"4190211237"</f>
        <v>4190211237</v>
      </c>
    </row>
    <row r="925" spans="1:25" x14ac:dyDescent="0.2">
      <c r="A925" s="9" t="s">
        <v>1196</v>
      </c>
      <c r="B925" s="10">
        <v>42815</v>
      </c>
      <c r="C925" s="9" t="s">
        <v>1197</v>
      </c>
      <c r="D925" s="9" t="s">
        <v>666</v>
      </c>
      <c r="E925" s="9" t="s">
        <v>2190</v>
      </c>
      <c r="F925" s="9">
        <v>3377500</v>
      </c>
      <c r="G925" s="8">
        <v>9304</v>
      </c>
      <c r="H925" s="4">
        <f t="shared" si="549"/>
        <v>0</v>
      </c>
      <c r="I925" s="4">
        <f t="shared" si="550"/>
        <v>9304</v>
      </c>
      <c r="J925" s="4">
        <f t="shared" si="551"/>
        <v>0</v>
      </c>
      <c r="K925" s="4">
        <f t="shared" si="552"/>
        <v>0</v>
      </c>
      <c r="L925" s="4">
        <f t="shared" si="553"/>
        <v>0</v>
      </c>
      <c r="M925" s="4">
        <f t="shared" si="554"/>
        <v>0</v>
      </c>
      <c r="N925" s="4">
        <f t="shared" si="555"/>
        <v>0</v>
      </c>
      <c r="O925" s="5">
        <f t="shared" si="556"/>
        <v>40</v>
      </c>
      <c r="P925" s="6" t="str">
        <f t="shared" si="557"/>
        <v>31 TO 45 Days</v>
      </c>
      <c r="Q925" s="7">
        <v>42855</v>
      </c>
      <c r="R925" s="6" t="s">
        <v>2178</v>
      </c>
      <c r="S925" s="1">
        <v>139.69</v>
      </c>
      <c r="T925" s="1" t="s">
        <v>31</v>
      </c>
      <c r="V925" s="1" t="s">
        <v>13</v>
      </c>
      <c r="W925" s="2">
        <v>42815</v>
      </c>
      <c r="X925" s="1" t="s">
        <v>14</v>
      </c>
      <c r="Y925" s="1" t="str">
        <f>"412121674"</f>
        <v>412121674</v>
      </c>
    </row>
    <row r="926" spans="1:25" x14ac:dyDescent="0.2">
      <c r="A926" s="9" t="s">
        <v>1164</v>
      </c>
      <c r="B926" s="10">
        <v>42815</v>
      </c>
      <c r="C926" s="9" t="s">
        <v>1165</v>
      </c>
      <c r="D926" s="9" t="s">
        <v>140</v>
      </c>
      <c r="E926" s="9" t="s">
        <v>2190</v>
      </c>
      <c r="F926" s="9">
        <v>0</v>
      </c>
      <c r="G926" s="8">
        <v>9320</v>
      </c>
      <c r="H926" s="4">
        <f t="shared" si="549"/>
        <v>0</v>
      </c>
      <c r="I926" s="4">
        <f t="shared" si="550"/>
        <v>9320</v>
      </c>
      <c r="J926" s="4">
        <f t="shared" si="551"/>
        <v>0</v>
      </c>
      <c r="K926" s="4">
        <f t="shared" si="552"/>
        <v>0</v>
      </c>
      <c r="L926" s="4">
        <f t="shared" si="553"/>
        <v>0</v>
      </c>
      <c r="M926" s="4">
        <f t="shared" si="554"/>
        <v>0</v>
      </c>
      <c r="N926" s="4">
        <f t="shared" si="555"/>
        <v>0</v>
      </c>
      <c r="O926" s="5">
        <f t="shared" si="556"/>
        <v>40</v>
      </c>
      <c r="P926" s="6" t="str">
        <f t="shared" si="557"/>
        <v>31 TO 45 Days</v>
      </c>
      <c r="Q926" s="7">
        <v>42855</v>
      </c>
      <c r="R926" s="6" t="s">
        <v>2178</v>
      </c>
      <c r="Y926" s="1" t="str">
        <f>"410290966"</f>
        <v>410290966</v>
      </c>
    </row>
    <row r="927" spans="1:25" x14ac:dyDescent="0.2">
      <c r="A927" s="9" t="s">
        <v>1560</v>
      </c>
      <c r="B927" s="10">
        <v>42825</v>
      </c>
      <c r="C927" s="9" t="s">
        <v>1561</v>
      </c>
      <c r="D927" s="9" t="s">
        <v>164</v>
      </c>
      <c r="E927" s="9" t="s">
        <v>2190</v>
      </c>
      <c r="F927" s="9">
        <v>0</v>
      </c>
      <c r="G927" s="8">
        <v>9338</v>
      </c>
      <c r="H927" s="4">
        <f t="shared" si="549"/>
        <v>9338</v>
      </c>
      <c r="I927" s="4">
        <f t="shared" si="550"/>
        <v>0</v>
      </c>
      <c r="J927" s="4">
        <f t="shared" si="551"/>
        <v>0</v>
      </c>
      <c r="K927" s="4">
        <f t="shared" si="552"/>
        <v>0</v>
      </c>
      <c r="L927" s="4">
        <f t="shared" si="553"/>
        <v>0</v>
      </c>
      <c r="M927" s="4">
        <f t="shared" si="554"/>
        <v>0</v>
      </c>
      <c r="N927" s="4">
        <f t="shared" si="555"/>
        <v>0</v>
      </c>
      <c r="O927" s="5">
        <f t="shared" si="556"/>
        <v>30</v>
      </c>
      <c r="P927" s="6" t="str">
        <f t="shared" si="557"/>
        <v>30 Days</v>
      </c>
      <c r="Q927" s="7">
        <v>42855</v>
      </c>
      <c r="R927" s="6" t="s">
        <v>2178</v>
      </c>
      <c r="Y927" s="1" t="str">
        <f>"4711239924"</f>
        <v>4711239924</v>
      </c>
    </row>
    <row r="928" spans="1:25" x14ac:dyDescent="0.2">
      <c r="A928" s="9" t="s">
        <v>1971</v>
      </c>
      <c r="B928" s="10">
        <v>42836</v>
      </c>
      <c r="C928" s="9" t="s">
        <v>1972</v>
      </c>
      <c r="D928" s="9" t="s">
        <v>17</v>
      </c>
      <c r="E928" s="9" t="s">
        <v>2190</v>
      </c>
      <c r="F928" s="9">
        <v>500000</v>
      </c>
      <c r="G928" s="8">
        <v>9343</v>
      </c>
      <c r="H928" s="4">
        <f t="shared" si="549"/>
        <v>9343</v>
      </c>
      <c r="I928" s="4">
        <f t="shared" si="550"/>
        <v>0</v>
      </c>
      <c r="J928" s="4">
        <f t="shared" si="551"/>
        <v>0</v>
      </c>
      <c r="K928" s="4">
        <f t="shared" si="552"/>
        <v>0</v>
      </c>
      <c r="L928" s="4">
        <f t="shared" si="553"/>
        <v>0</v>
      </c>
      <c r="M928" s="4">
        <f t="shared" si="554"/>
        <v>0</v>
      </c>
      <c r="N928" s="4">
        <f t="shared" si="555"/>
        <v>0</v>
      </c>
      <c r="O928" s="5">
        <f t="shared" si="556"/>
        <v>19</v>
      </c>
      <c r="P928" s="6" t="str">
        <f t="shared" si="557"/>
        <v>30 Days</v>
      </c>
      <c r="Q928" s="7">
        <v>42855</v>
      </c>
      <c r="R928" s="6" t="str">
        <f>VLOOKUP(A928:A5757,[1]BOM_INV_OPERATOR_DETAILS_OUTPUT!$A$2:$D$1233,4,FALSE)</f>
        <v>AI</v>
      </c>
      <c r="Y928" s="1" t="str">
        <f>"418547617"</f>
        <v>418547617</v>
      </c>
    </row>
    <row r="929" spans="1:25" x14ac:dyDescent="0.2">
      <c r="A929" s="9" t="s">
        <v>1674</v>
      </c>
      <c r="B929" s="10">
        <v>42829</v>
      </c>
      <c r="C929" s="9" t="s">
        <v>1675</v>
      </c>
      <c r="D929" s="9" t="s">
        <v>15</v>
      </c>
      <c r="E929" s="9" t="s">
        <v>2190</v>
      </c>
      <c r="F929" s="9">
        <v>5000000</v>
      </c>
      <c r="G929" s="8">
        <v>9372</v>
      </c>
      <c r="H929" s="4">
        <f t="shared" si="549"/>
        <v>9372</v>
      </c>
      <c r="I929" s="4">
        <f t="shared" si="550"/>
        <v>0</v>
      </c>
      <c r="J929" s="4">
        <f t="shared" si="551"/>
        <v>0</v>
      </c>
      <c r="K929" s="4">
        <f t="shared" si="552"/>
        <v>0</v>
      </c>
      <c r="L929" s="4">
        <f t="shared" si="553"/>
        <v>0</v>
      </c>
      <c r="M929" s="4">
        <f t="shared" si="554"/>
        <v>0</v>
      </c>
      <c r="N929" s="4">
        <f t="shared" si="555"/>
        <v>0</v>
      </c>
      <c r="O929" s="5">
        <f t="shared" si="556"/>
        <v>26</v>
      </c>
      <c r="P929" s="6" t="str">
        <f t="shared" si="557"/>
        <v>30 Days</v>
      </c>
      <c r="Q929" s="7">
        <v>42855</v>
      </c>
      <c r="R929" s="6" t="s">
        <v>2178</v>
      </c>
      <c r="Y929" s="1" t="str">
        <f>"419166546"</f>
        <v>419166546</v>
      </c>
    </row>
    <row r="930" spans="1:25" x14ac:dyDescent="0.2">
      <c r="A930" s="9" t="s">
        <v>305</v>
      </c>
      <c r="B930" s="10">
        <v>42747</v>
      </c>
      <c r="C930" s="9" t="s">
        <v>306</v>
      </c>
      <c r="D930" s="9" t="s">
        <v>148</v>
      </c>
      <c r="E930" s="9" t="s">
        <v>2190</v>
      </c>
      <c r="F930" s="9">
        <v>500000</v>
      </c>
      <c r="G930" s="8">
        <v>9398</v>
      </c>
      <c r="H930" s="4">
        <f t="shared" si="549"/>
        <v>0</v>
      </c>
      <c r="I930" s="4">
        <f t="shared" si="550"/>
        <v>0</v>
      </c>
      <c r="J930" s="4">
        <f t="shared" si="551"/>
        <v>0</v>
      </c>
      <c r="K930" s="4">
        <f t="shared" si="552"/>
        <v>0</v>
      </c>
      <c r="L930" s="4">
        <f t="shared" si="553"/>
        <v>9398</v>
      </c>
      <c r="M930" s="4">
        <f t="shared" si="554"/>
        <v>0</v>
      </c>
      <c r="N930" s="4">
        <f t="shared" si="555"/>
        <v>9398</v>
      </c>
      <c r="O930" s="5">
        <f t="shared" si="556"/>
        <v>108</v>
      </c>
      <c r="P930" s="6" t="str">
        <f t="shared" si="557"/>
        <v>91 To 120 Days</v>
      </c>
      <c r="Q930" s="7">
        <v>42855</v>
      </c>
      <c r="R930" s="6" t="s">
        <v>2178</v>
      </c>
      <c r="Y930" s="1" t="str">
        <f>"4540129252"</f>
        <v>4540129252</v>
      </c>
    </row>
    <row r="931" spans="1:25" x14ac:dyDescent="0.2">
      <c r="A931" s="9" t="s">
        <v>2029</v>
      </c>
      <c r="B931" s="10">
        <v>42837</v>
      </c>
      <c r="C931" s="9" t="s">
        <v>2030</v>
      </c>
      <c r="D931" s="9" t="s">
        <v>2028</v>
      </c>
      <c r="E931" s="9" t="s">
        <v>2190</v>
      </c>
      <c r="F931" s="9">
        <v>0</v>
      </c>
      <c r="G931" s="8">
        <v>9412</v>
      </c>
      <c r="H931" s="4">
        <f t="shared" si="549"/>
        <v>9412</v>
      </c>
      <c r="I931" s="4">
        <f t="shared" si="550"/>
        <v>0</v>
      </c>
      <c r="J931" s="4">
        <f t="shared" si="551"/>
        <v>0</v>
      </c>
      <c r="K931" s="4">
        <f t="shared" si="552"/>
        <v>0</v>
      </c>
      <c r="L931" s="4">
        <f t="shared" si="553"/>
        <v>0</v>
      </c>
      <c r="M931" s="4">
        <f t="shared" si="554"/>
        <v>0</v>
      </c>
      <c r="N931" s="4">
        <f t="shared" si="555"/>
        <v>0</v>
      </c>
      <c r="O931" s="5">
        <f t="shared" si="556"/>
        <v>18</v>
      </c>
      <c r="P931" s="6" t="str">
        <f t="shared" si="557"/>
        <v>30 Days</v>
      </c>
      <c r="Q931" s="7">
        <v>42855</v>
      </c>
      <c r="R931" s="6" t="str">
        <f>VLOOKUP(A931:A5767,[1]BOM_INV_OPERATOR_DETAILS_OUTPUT!$A$2:$D$1233,4,FALSE)</f>
        <v>AI</v>
      </c>
      <c r="Y931" s="1" t="str">
        <f>"4170206223"</f>
        <v>4170206223</v>
      </c>
    </row>
    <row r="932" spans="1:25" x14ac:dyDescent="0.2">
      <c r="A932" s="9" t="s">
        <v>1298</v>
      </c>
      <c r="B932" s="10">
        <v>42818</v>
      </c>
      <c r="C932" s="9" t="s">
        <v>1299</v>
      </c>
      <c r="D932" s="9" t="s">
        <v>161</v>
      </c>
      <c r="E932" s="9" t="s">
        <v>2190</v>
      </c>
      <c r="F932" s="9">
        <v>0</v>
      </c>
      <c r="G932" s="8">
        <v>9420</v>
      </c>
      <c r="H932" s="4">
        <f t="shared" si="549"/>
        <v>0</v>
      </c>
      <c r="I932" s="4">
        <f t="shared" si="550"/>
        <v>9420</v>
      </c>
      <c r="J932" s="4">
        <f t="shared" si="551"/>
        <v>0</v>
      </c>
      <c r="K932" s="4">
        <f t="shared" si="552"/>
        <v>0</v>
      </c>
      <c r="L932" s="4">
        <f t="shared" si="553"/>
        <v>0</v>
      </c>
      <c r="M932" s="4">
        <f t="shared" si="554"/>
        <v>0</v>
      </c>
      <c r="N932" s="4">
        <f t="shared" si="555"/>
        <v>0</v>
      </c>
      <c r="O932" s="5">
        <f t="shared" si="556"/>
        <v>37</v>
      </c>
      <c r="P932" s="6" t="str">
        <f t="shared" si="557"/>
        <v>31 TO 45 Days</v>
      </c>
      <c r="Q932" s="7">
        <v>42855</v>
      </c>
      <c r="R932" s="6" t="s">
        <v>2178</v>
      </c>
      <c r="Y932" s="1" t="str">
        <f>"4711237332"</f>
        <v>4711237332</v>
      </c>
    </row>
    <row r="933" spans="1:25" x14ac:dyDescent="0.2">
      <c r="A933" s="9" t="s">
        <v>369</v>
      </c>
      <c r="B933" s="10">
        <v>42758</v>
      </c>
      <c r="C933" s="9" t="s">
        <v>370</v>
      </c>
      <c r="D933" s="9" t="s">
        <v>164</v>
      </c>
      <c r="E933" s="9" t="s">
        <v>2190</v>
      </c>
      <c r="F933" s="9">
        <v>0</v>
      </c>
      <c r="G933" s="8">
        <v>9422</v>
      </c>
      <c r="H933" s="4">
        <f t="shared" si="549"/>
        <v>0</v>
      </c>
      <c r="I933" s="4">
        <f t="shared" si="550"/>
        <v>0</v>
      </c>
      <c r="J933" s="4">
        <f t="shared" si="551"/>
        <v>0</v>
      </c>
      <c r="K933" s="4">
        <f t="shared" si="552"/>
        <v>0</v>
      </c>
      <c r="L933" s="4">
        <f t="shared" si="553"/>
        <v>9422</v>
      </c>
      <c r="M933" s="4">
        <f t="shared" si="554"/>
        <v>0</v>
      </c>
      <c r="N933" s="4">
        <f t="shared" si="555"/>
        <v>9422</v>
      </c>
      <c r="O933" s="5">
        <f t="shared" si="556"/>
        <v>97</v>
      </c>
      <c r="P933" s="6" t="str">
        <f t="shared" si="557"/>
        <v>91 To 120 Days</v>
      </c>
      <c r="Q933" s="7">
        <v>42855</v>
      </c>
      <c r="R933" s="6" t="s">
        <v>2178</v>
      </c>
      <c r="Y933" s="1" t="str">
        <f>"4711223335"</f>
        <v>4711223335</v>
      </c>
    </row>
    <row r="934" spans="1:25" x14ac:dyDescent="0.2">
      <c r="A934" s="9" t="s">
        <v>1182</v>
      </c>
      <c r="B934" s="10">
        <v>42815</v>
      </c>
      <c r="C934" s="9" t="s">
        <v>1183</v>
      </c>
      <c r="D934" s="9" t="s">
        <v>164</v>
      </c>
      <c r="E934" s="9" t="s">
        <v>2190</v>
      </c>
      <c r="F934" s="9">
        <v>0</v>
      </c>
      <c r="G934" s="8">
        <v>9424</v>
      </c>
      <c r="H934" s="4">
        <f t="shared" si="549"/>
        <v>0</v>
      </c>
      <c r="I934" s="4">
        <f t="shared" si="550"/>
        <v>9424</v>
      </c>
      <c r="J934" s="4">
        <f t="shared" si="551"/>
        <v>0</v>
      </c>
      <c r="K934" s="4">
        <f t="shared" si="552"/>
        <v>0</v>
      </c>
      <c r="L934" s="4">
        <f t="shared" si="553"/>
        <v>0</v>
      </c>
      <c r="M934" s="4">
        <f t="shared" si="554"/>
        <v>0</v>
      </c>
      <c r="N934" s="4">
        <f t="shared" si="555"/>
        <v>0</v>
      </c>
      <c r="O934" s="5">
        <f t="shared" si="556"/>
        <v>40</v>
      </c>
      <c r="P934" s="6" t="str">
        <f t="shared" si="557"/>
        <v>31 TO 45 Days</v>
      </c>
      <c r="Q934" s="7">
        <v>42855</v>
      </c>
      <c r="R934" s="6" t="s">
        <v>2178</v>
      </c>
      <c r="Y934" s="1" t="str">
        <f>"4711236506"</f>
        <v>4711236506</v>
      </c>
    </row>
    <row r="935" spans="1:25" x14ac:dyDescent="0.2">
      <c r="A935" s="9" t="s">
        <v>1986</v>
      </c>
      <c r="B935" s="10">
        <v>42836</v>
      </c>
      <c r="C935" s="9" t="s">
        <v>1987</v>
      </c>
      <c r="D935" s="9" t="s">
        <v>15</v>
      </c>
      <c r="E935" s="9" t="s">
        <v>2190</v>
      </c>
      <c r="F935" s="9">
        <v>5000000</v>
      </c>
      <c r="G935" s="8">
        <v>9427</v>
      </c>
      <c r="H935" s="4">
        <f t="shared" si="549"/>
        <v>9427</v>
      </c>
      <c r="I935" s="4">
        <f t="shared" si="550"/>
        <v>0</v>
      </c>
      <c r="J935" s="4">
        <f t="shared" si="551"/>
        <v>0</v>
      </c>
      <c r="K935" s="4">
        <f t="shared" si="552"/>
        <v>0</v>
      </c>
      <c r="L935" s="4">
        <f t="shared" si="553"/>
        <v>0</v>
      </c>
      <c r="M935" s="4">
        <f t="shared" si="554"/>
        <v>0</v>
      </c>
      <c r="N935" s="4">
        <f t="shared" si="555"/>
        <v>0</v>
      </c>
      <c r="O935" s="5">
        <f t="shared" si="556"/>
        <v>19</v>
      </c>
      <c r="P935" s="6" t="str">
        <f t="shared" si="557"/>
        <v>30 Days</v>
      </c>
      <c r="Q935" s="7">
        <v>42855</v>
      </c>
      <c r="R935" s="6" t="str">
        <f>VLOOKUP(A935:A5774,[1]BOM_INV_OPERATOR_DETAILS_OUTPUT!$A$2:$D$1233,4,FALSE)</f>
        <v>AI</v>
      </c>
      <c r="Y935" s="1" t="str">
        <f>"419166702"</f>
        <v>419166702</v>
      </c>
    </row>
    <row r="936" spans="1:25" x14ac:dyDescent="0.2">
      <c r="A936" s="9" t="s">
        <v>1715</v>
      </c>
      <c r="B936" s="10">
        <v>42830</v>
      </c>
      <c r="C936" s="9" t="s">
        <v>1716</v>
      </c>
      <c r="D936" s="9" t="s">
        <v>778</v>
      </c>
      <c r="E936" s="9" t="s">
        <v>2190</v>
      </c>
      <c r="F936" s="9">
        <v>200000</v>
      </c>
      <c r="G936" s="8">
        <v>9445</v>
      </c>
      <c r="H936" s="4">
        <f t="shared" ref="H936:H961" si="558">IF(O936&lt;=30,G936,0)</f>
        <v>9445</v>
      </c>
      <c r="I936" s="4">
        <f t="shared" ref="I936:I961" si="559">IF(AND(O936&gt;30,O936&lt;=45),G936,0)</f>
        <v>0</v>
      </c>
      <c r="J936" s="4">
        <f t="shared" ref="J936:J961" si="560">IF(AND(O936&gt;45,O936&lt;=60),G936,0)</f>
        <v>0</v>
      </c>
      <c r="K936" s="4">
        <f t="shared" ref="K936:K961" si="561">IF(AND(O936&gt;60,O936&lt;=90),G936,0)</f>
        <v>0</v>
      </c>
      <c r="L936" s="4">
        <f t="shared" ref="L936:L961" si="562">IF(AND(O936&gt;90,O936&lt;=120),G936,0)</f>
        <v>0</v>
      </c>
      <c r="M936" s="4">
        <f t="shared" ref="M936:M961" si="563">IF(O936&gt;120,G936,0)</f>
        <v>0</v>
      </c>
      <c r="N936" s="4">
        <f t="shared" ref="N936:N961" si="564">IF(O936&gt;60,G936,0)</f>
        <v>0</v>
      </c>
      <c r="O936" s="5">
        <f t="shared" ref="O936:O961" si="565">Q936-B936</f>
        <v>25</v>
      </c>
      <c r="P936" s="6" t="str">
        <f t="shared" ref="P936:P961" si="566">IF(AND(O936&lt;=30),"30 Days",IF(AND(O936&gt;30,O936&lt;=45),"31 TO 45 Days",IF(AND(O936&gt;45,O936&lt;=60),"46 To 60 Days",IF(AND(O936&gt;60,O936&lt;=90),"61 To 90 Days",IF(AND(O936&gt;90,O936&lt;=120),"91 To 120 Days",IF(AND(O936&gt;120),"Plus120Days",))))))</f>
        <v>30 Days</v>
      </c>
      <c r="Q936" s="7">
        <v>42855</v>
      </c>
      <c r="R936" s="6" t="s">
        <v>2178</v>
      </c>
      <c r="Y936" s="1" t="str">
        <f>"423610476"</f>
        <v>423610476</v>
      </c>
    </row>
    <row r="937" spans="1:25" x14ac:dyDescent="0.2">
      <c r="A937" s="9" t="s">
        <v>1586</v>
      </c>
      <c r="B937" s="10">
        <v>42826</v>
      </c>
      <c r="C937" s="9" t="s">
        <v>1587</v>
      </c>
      <c r="D937" s="9" t="s">
        <v>20</v>
      </c>
      <c r="E937" s="9" t="s">
        <v>2190</v>
      </c>
      <c r="F937" s="9">
        <v>1000000</v>
      </c>
      <c r="G937" s="8">
        <v>9449</v>
      </c>
      <c r="H937" s="4">
        <f t="shared" si="558"/>
        <v>9449</v>
      </c>
      <c r="I937" s="4">
        <f t="shared" si="559"/>
        <v>0</v>
      </c>
      <c r="J937" s="4">
        <f t="shared" si="560"/>
        <v>0</v>
      </c>
      <c r="K937" s="4">
        <f t="shared" si="561"/>
        <v>0</v>
      </c>
      <c r="L937" s="4">
        <f t="shared" si="562"/>
        <v>0</v>
      </c>
      <c r="M937" s="4">
        <f t="shared" si="563"/>
        <v>0</v>
      </c>
      <c r="N937" s="4">
        <f t="shared" si="564"/>
        <v>0</v>
      </c>
      <c r="O937" s="5">
        <f t="shared" si="565"/>
        <v>29</v>
      </c>
      <c r="P937" s="6" t="str">
        <f t="shared" si="566"/>
        <v>30 Days</v>
      </c>
      <c r="Q937" s="7">
        <v>42855</v>
      </c>
      <c r="R937" s="6" t="s">
        <v>2178</v>
      </c>
      <c r="V937" s="1" t="s">
        <v>13</v>
      </c>
      <c r="W937" s="2">
        <v>42828</v>
      </c>
      <c r="X937" s="1" t="s">
        <v>14</v>
      </c>
      <c r="Y937" s="1" t="str">
        <f>"4940189413"</f>
        <v>4940189413</v>
      </c>
    </row>
    <row r="938" spans="1:25" x14ac:dyDescent="0.2">
      <c r="A938" s="9" t="s">
        <v>753</v>
      </c>
      <c r="B938" s="10">
        <v>42793</v>
      </c>
      <c r="C938" s="9" t="s">
        <v>754</v>
      </c>
      <c r="D938" s="9" t="s">
        <v>17</v>
      </c>
      <c r="E938" s="9" t="s">
        <v>2190</v>
      </c>
      <c r="F938" s="9">
        <v>500000</v>
      </c>
      <c r="G938" s="8">
        <v>9450</v>
      </c>
      <c r="H938" s="4">
        <f t="shared" si="558"/>
        <v>0</v>
      </c>
      <c r="I938" s="4">
        <f t="shared" si="559"/>
        <v>0</v>
      </c>
      <c r="J938" s="4">
        <f t="shared" si="560"/>
        <v>0</v>
      </c>
      <c r="K938" s="4">
        <f t="shared" si="561"/>
        <v>9450</v>
      </c>
      <c r="L938" s="4">
        <f t="shared" si="562"/>
        <v>0</v>
      </c>
      <c r="M938" s="4">
        <f t="shared" si="563"/>
        <v>0</v>
      </c>
      <c r="N938" s="4">
        <f t="shared" si="564"/>
        <v>9450</v>
      </c>
      <c r="O938" s="5">
        <f t="shared" si="565"/>
        <v>62</v>
      </c>
      <c r="P938" s="6" t="str">
        <f t="shared" si="566"/>
        <v>61 To 90 Days</v>
      </c>
      <c r="Q938" s="7">
        <v>42855</v>
      </c>
      <c r="R938" s="6" t="s">
        <v>2178</v>
      </c>
      <c r="Y938" s="1" t="str">
        <f>"418546920"</f>
        <v>418546920</v>
      </c>
    </row>
    <row r="939" spans="1:25" x14ac:dyDescent="0.2">
      <c r="A939" s="9" t="s">
        <v>248</v>
      </c>
      <c r="B939" s="10">
        <v>42735</v>
      </c>
      <c r="C939" s="9" t="s">
        <v>249</v>
      </c>
      <c r="D939" s="9" t="s">
        <v>42</v>
      </c>
      <c r="E939" s="9" t="s">
        <v>2190</v>
      </c>
      <c r="F939" s="9">
        <v>1480000</v>
      </c>
      <c r="G939" s="8">
        <v>9453</v>
      </c>
      <c r="H939" s="4">
        <f t="shared" si="558"/>
        <v>0</v>
      </c>
      <c r="I939" s="4">
        <f t="shared" si="559"/>
        <v>0</v>
      </c>
      <c r="J939" s="4">
        <f t="shared" si="560"/>
        <v>0</v>
      </c>
      <c r="K939" s="4">
        <f t="shared" si="561"/>
        <v>0</v>
      </c>
      <c r="L939" s="4">
        <f t="shared" si="562"/>
        <v>9453</v>
      </c>
      <c r="M939" s="4">
        <f t="shared" si="563"/>
        <v>0</v>
      </c>
      <c r="N939" s="4">
        <f t="shared" si="564"/>
        <v>9453</v>
      </c>
      <c r="O939" s="5">
        <f t="shared" si="565"/>
        <v>120</v>
      </c>
      <c r="P939" s="6" t="str">
        <f t="shared" si="566"/>
        <v>91 To 120 Days</v>
      </c>
      <c r="Q939" s="7">
        <v>42855</v>
      </c>
      <c r="R939" s="6" t="s">
        <v>2178</v>
      </c>
      <c r="Y939" s="1" t="str">
        <f>"4395766800"</f>
        <v>4395766800</v>
      </c>
    </row>
    <row r="940" spans="1:25" x14ac:dyDescent="0.2">
      <c r="A940" s="9" t="s">
        <v>1262</v>
      </c>
      <c r="B940" s="10">
        <v>42818</v>
      </c>
      <c r="C940" s="9" t="s">
        <v>1263</v>
      </c>
      <c r="D940" s="9" t="s">
        <v>17</v>
      </c>
      <c r="E940" s="9" t="s">
        <v>2190</v>
      </c>
      <c r="F940" s="9">
        <v>500000</v>
      </c>
      <c r="G940" s="8">
        <v>9464</v>
      </c>
      <c r="H940" s="4">
        <f t="shared" si="558"/>
        <v>0</v>
      </c>
      <c r="I940" s="4">
        <f t="shared" si="559"/>
        <v>9464</v>
      </c>
      <c r="J940" s="4">
        <f t="shared" si="560"/>
        <v>0</v>
      </c>
      <c r="K940" s="4">
        <f t="shared" si="561"/>
        <v>0</v>
      </c>
      <c r="L940" s="4">
        <f t="shared" si="562"/>
        <v>0</v>
      </c>
      <c r="M940" s="4">
        <f t="shared" si="563"/>
        <v>0</v>
      </c>
      <c r="N940" s="4">
        <f t="shared" si="564"/>
        <v>0</v>
      </c>
      <c r="O940" s="5">
        <f t="shared" si="565"/>
        <v>37</v>
      </c>
      <c r="P940" s="6" t="str">
        <f t="shared" si="566"/>
        <v>31 TO 45 Days</v>
      </c>
      <c r="Q940" s="7">
        <v>42855</v>
      </c>
      <c r="R940" s="6" t="s">
        <v>2178</v>
      </c>
      <c r="Y940" s="1" t="str">
        <f>"4560218471"</f>
        <v>4560218471</v>
      </c>
    </row>
    <row r="941" spans="1:25" x14ac:dyDescent="0.2">
      <c r="A941" s="9" t="s">
        <v>520</v>
      </c>
      <c r="B941" s="10">
        <v>42775</v>
      </c>
      <c r="C941" s="9" t="s">
        <v>521</v>
      </c>
      <c r="D941" s="9" t="s">
        <v>20</v>
      </c>
      <c r="E941" s="9" t="s">
        <v>2190</v>
      </c>
      <c r="F941" s="9">
        <v>1000000</v>
      </c>
      <c r="G941" s="8">
        <v>9466</v>
      </c>
      <c r="H941" s="4">
        <f t="shared" si="558"/>
        <v>0</v>
      </c>
      <c r="I941" s="4">
        <f t="shared" si="559"/>
        <v>0</v>
      </c>
      <c r="J941" s="4">
        <f t="shared" si="560"/>
        <v>0</v>
      </c>
      <c r="K941" s="4">
        <f t="shared" si="561"/>
        <v>9466</v>
      </c>
      <c r="L941" s="4">
        <f t="shared" si="562"/>
        <v>0</v>
      </c>
      <c r="M941" s="4">
        <f t="shared" si="563"/>
        <v>0</v>
      </c>
      <c r="N941" s="4">
        <f t="shared" si="564"/>
        <v>9466</v>
      </c>
      <c r="O941" s="5">
        <f t="shared" si="565"/>
        <v>80</v>
      </c>
      <c r="P941" s="6" t="str">
        <f t="shared" si="566"/>
        <v>61 To 90 Days</v>
      </c>
      <c r="Q941" s="7">
        <v>42855</v>
      </c>
      <c r="R941" s="6" t="s">
        <v>2178</v>
      </c>
      <c r="Y941" s="1" t="str">
        <f>"4940187813"</f>
        <v>4940187813</v>
      </c>
    </row>
    <row r="942" spans="1:25" x14ac:dyDescent="0.2">
      <c r="A942" s="9" t="s">
        <v>825</v>
      </c>
      <c r="B942" s="10">
        <v>42795</v>
      </c>
      <c r="C942" s="9" t="s">
        <v>826</v>
      </c>
      <c r="D942" s="9" t="s">
        <v>241</v>
      </c>
      <c r="E942" s="9" t="s">
        <v>2190</v>
      </c>
      <c r="F942" s="9">
        <v>75000</v>
      </c>
      <c r="G942" s="8">
        <v>9468</v>
      </c>
      <c r="H942" s="4">
        <f t="shared" si="558"/>
        <v>0</v>
      </c>
      <c r="I942" s="4">
        <f t="shared" si="559"/>
        <v>0</v>
      </c>
      <c r="J942" s="4">
        <f t="shared" si="560"/>
        <v>9468</v>
      </c>
      <c r="K942" s="4">
        <f t="shared" si="561"/>
        <v>0</v>
      </c>
      <c r="L942" s="4">
        <f t="shared" si="562"/>
        <v>0</v>
      </c>
      <c r="M942" s="4">
        <f t="shared" si="563"/>
        <v>0</v>
      </c>
      <c r="N942" s="4">
        <f t="shared" si="564"/>
        <v>0</v>
      </c>
      <c r="O942" s="5">
        <f t="shared" si="565"/>
        <v>60</v>
      </c>
      <c r="P942" s="6" t="str">
        <f t="shared" si="566"/>
        <v>46 To 60 Days</v>
      </c>
      <c r="Q942" s="7">
        <v>42855</v>
      </c>
      <c r="R942" s="6" t="s">
        <v>2178</v>
      </c>
      <c r="Y942" s="1" t="str">
        <f>"4850056532"</f>
        <v>4850056532</v>
      </c>
    </row>
    <row r="943" spans="1:25" x14ac:dyDescent="0.2">
      <c r="A943" s="9" t="s">
        <v>541</v>
      </c>
      <c r="B943" s="10">
        <v>42776</v>
      </c>
      <c r="C943" s="9" t="s">
        <v>542</v>
      </c>
      <c r="D943" s="9" t="s">
        <v>164</v>
      </c>
      <c r="E943" s="9" t="s">
        <v>2190</v>
      </c>
      <c r="F943" s="9">
        <v>0</v>
      </c>
      <c r="G943" s="8">
        <v>9475</v>
      </c>
      <c r="H943" s="4">
        <f t="shared" si="558"/>
        <v>0</v>
      </c>
      <c r="I943" s="4">
        <f t="shared" si="559"/>
        <v>0</v>
      </c>
      <c r="J943" s="4">
        <f t="shared" si="560"/>
        <v>0</v>
      </c>
      <c r="K943" s="4">
        <f t="shared" si="561"/>
        <v>9475</v>
      </c>
      <c r="L943" s="4">
        <f t="shared" si="562"/>
        <v>0</v>
      </c>
      <c r="M943" s="4">
        <f t="shared" si="563"/>
        <v>0</v>
      </c>
      <c r="N943" s="4">
        <f t="shared" si="564"/>
        <v>9475</v>
      </c>
      <c r="O943" s="5">
        <f t="shared" si="565"/>
        <v>79</v>
      </c>
      <c r="P943" s="6" t="str">
        <f t="shared" si="566"/>
        <v>61 To 90 Days</v>
      </c>
      <c r="Q943" s="7">
        <v>42855</v>
      </c>
      <c r="R943" s="6" t="s">
        <v>2178</v>
      </c>
      <c r="Y943" s="1" t="str">
        <f>"4711228180"</f>
        <v>4711228180</v>
      </c>
    </row>
    <row r="944" spans="1:25" x14ac:dyDescent="0.2">
      <c r="A944" s="9" t="s">
        <v>1052</v>
      </c>
      <c r="B944" s="10">
        <v>42811</v>
      </c>
      <c r="C944" s="9" t="s">
        <v>1053</v>
      </c>
      <c r="D944" s="9" t="s">
        <v>17</v>
      </c>
      <c r="E944" s="9" t="s">
        <v>2190</v>
      </c>
      <c r="F944" s="9">
        <v>500000</v>
      </c>
      <c r="G944" s="8">
        <v>9481</v>
      </c>
      <c r="H944" s="4">
        <f t="shared" si="558"/>
        <v>0</v>
      </c>
      <c r="I944" s="4">
        <f t="shared" si="559"/>
        <v>9481</v>
      </c>
      <c r="J944" s="4">
        <f t="shared" si="560"/>
        <v>0</v>
      </c>
      <c r="K944" s="4">
        <f t="shared" si="561"/>
        <v>0</v>
      </c>
      <c r="L944" s="4">
        <f t="shared" si="562"/>
        <v>0</v>
      </c>
      <c r="M944" s="4">
        <f t="shared" si="563"/>
        <v>0</v>
      </c>
      <c r="N944" s="4">
        <f t="shared" si="564"/>
        <v>0</v>
      </c>
      <c r="O944" s="5">
        <f t="shared" si="565"/>
        <v>44</v>
      </c>
      <c r="P944" s="6" t="str">
        <f t="shared" si="566"/>
        <v>31 TO 45 Days</v>
      </c>
      <c r="Q944" s="7">
        <v>42855</v>
      </c>
      <c r="R944" s="6" t="s">
        <v>2178</v>
      </c>
      <c r="Y944" s="1" t="str">
        <f>"423609837"</f>
        <v>423609837</v>
      </c>
    </row>
    <row r="945" spans="1:25" x14ac:dyDescent="0.2">
      <c r="A945" s="9" t="s">
        <v>1056</v>
      </c>
      <c r="B945" s="10">
        <v>42811</v>
      </c>
      <c r="C945" s="9" t="s">
        <v>1057</v>
      </c>
      <c r="D945" s="9" t="s">
        <v>17</v>
      </c>
      <c r="E945" s="9" t="s">
        <v>2190</v>
      </c>
      <c r="F945" s="9">
        <v>500000</v>
      </c>
      <c r="G945" s="8">
        <v>9481</v>
      </c>
      <c r="H945" s="4">
        <f t="shared" si="558"/>
        <v>0</v>
      </c>
      <c r="I945" s="4">
        <f t="shared" si="559"/>
        <v>9481</v>
      </c>
      <c r="J945" s="4">
        <f t="shared" si="560"/>
        <v>0</v>
      </c>
      <c r="K945" s="4">
        <f t="shared" si="561"/>
        <v>0</v>
      </c>
      <c r="L945" s="4">
        <f t="shared" si="562"/>
        <v>0</v>
      </c>
      <c r="M945" s="4">
        <f t="shared" si="563"/>
        <v>0</v>
      </c>
      <c r="N945" s="4">
        <f t="shared" si="564"/>
        <v>0</v>
      </c>
      <c r="O945" s="5">
        <f t="shared" si="565"/>
        <v>44</v>
      </c>
      <c r="P945" s="6" t="str">
        <f t="shared" si="566"/>
        <v>31 TO 45 Days</v>
      </c>
      <c r="Q945" s="7">
        <v>42855</v>
      </c>
      <c r="R945" s="6" t="s">
        <v>2178</v>
      </c>
      <c r="Y945" s="1" t="str">
        <f>"423609693"</f>
        <v>423609693</v>
      </c>
    </row>
    <row r="946" spans="1:25" x14ac:dyDescent="0.2">
      <c r="A946" s="9" t="s">
        <v>567</v>
      </c>
      <c r="B946" s="10">
        <v>42780</v>
      </c>
      <c r="C946" s="9" t="s">
        <v>568</v>
      </c>
      <c r="D946" s="9" t="s">
        <v>566</v>
      </c>
      <c r="E946" s="9" t="s">
        <v>2190</v>
      </c>
      <c r="F946" s="9">
        <v>500000</v>
      </c>
      <c r="G946" s="8">
        <v>9482</v>
      </c>
      <c r="H946" s="4">
        <f t="shared" si="558"/>
        <v>0</v>
      </c>
      <c r="I946" s="4">
        <f t="shared" si="559"/>
        <v>0</v>
      </c>
      <c r="J946" s="4">
        <f t="shared" si="560"/>
        <v>0</v>
      </c>
      <c r="K946" s="4">
        <f t="shared" si="561"/>
        <v>9482</v>
      </c>
      <c r="L946" s="4">
        <f t="shared" si="562"/>
        <v>0</v>
      </c>
      <c r="M946" s="4">
        <f t="shared" si="563"/>
        <v>0</v>
      </c>
      <c r="N946" s="4">
        <f t="shared" si="564"/>
        <v>9482</v>
      </c>
      <c r="O946" s="5">
        <f t="shared" si="565"/>
        <v>75</v>
      </c>
      <c r="P946" s="6" t="str">
        <f t="shared" si="566"/>
        <v>61 To 90 Days</v>
      </c>
      <c r="Q946" s="7">
        <v>42855</v>
      </c>
      <c r="R946" s="6" t="s">
        <v>2178</v>
      </c>
      <c r="Y946" s="1" t="str">
        <f>"4711227595"</f>
        <v>4711227595</v>
      </c>
    </row>
    <row r="947" spans="1:25" x14ac:dyDescent="0.2">
      <c r="A947" s="9" t="s">
        <v>1529</v>
      </c>
      <c r="B947" s="10">
        <v>42825</v>
      </c>
      <c r="C947" s="9" t="s">
        <v>1530</v>
      </c>
      <c r="D947" s="9" t="s">
        <v>140</v>
      </c>
      <c r="E947" s="9" t="s">
        <v>2190</v>
      </c>
      <c r="F947" s="9">
        <v>0</v>
      </c>
      <c r="G947" s="8">
        <v>9486</v>
      </c>
      <c r="H947" s="4">
        <f t="shared" si="558"/>
        <v>9486</v>
      </c>
      <c r="I947" s="4">
        <f t="shared" si="559"/>
        <v>0</v>
      </c>
      <c r="J947" s="4">
        <f t="shared" si="560"/>
        <v>0</v>
      </c>
      <c r="K947" s="4">
        <f t="shared" si="561"/>
        <v>0</v>
      </c>
      <c r="L947" s="4">
        <f t="shared" si="562"/>
        <v>0</v>
      </c>
      <c r="M947" s="4">
        <f t="shared" si="563"/>
        <v>0</v>
      </c>
      <c r="N947" s="4">
        <f t="shared" si="564"/>
        <v>0</v>
      </c>
      <c r="O947" s="5">
        <f t="shared" si="565"/>
        <v>30</v>
      </c>
      <c r="P947" s="6" t="str">
        <f t="shared" si="566"/>
        <v>30 Days</v>
      </c>
      <c r="Q947" s="7">
        <v>42855</v>
      </c>
      <c r="R947" s="6" t="s">
        <v>2178</v>
      </c>
      <c r="Y947" s="1" t="str">
        <f>"4400190131"</f>
        <v>4400190131</v>
      </c>
    </row>
    <row r="948" spans="1:25" x14ac:dyDescent="0.2">
      <c r="A948" s="9" t="s">
        <v>978</v>
      </c>
      <c r="B948" s="10">
        <v>42804</v>
      </c>
      <c r="C948" s="9" t="s">
        <v>979</v>
      </c>
      <c r="D948" s="9" t="s">
        <v>666</v>
      </c>
      <c r="E948" s="9" t="s">
        <v>2190</v>
      </c>
      <c r="F948" s="9">
        <v>3377500</v>
      </c>
      <c r="G948" s="8">
        <v>9489</v>
      </c>
      <c r="H948" s="4">
        <f t="shared" si="558"/>
        <v>0</v>
      </c>
      <c r="I948" s="4">
        <f t="shared" si="559"/>
        <v>0</v>
      </c>
      <c r="J948" s="4">
        <f t="shared" si="560"/>
        <v>9489</v>
      </c>
      <c r="K948" s="4">
        <f t="shared" si="561"/>
        <v>0</v>
      </c>
      <c r="L948" s="4">
        <f t="shared" si="562"/>
        <v>0</v>
      </c>
      <c r="M948" s="4">
        <f t="shared" si="563"/>
        <v>0</v>
      </c>
      <c r="N948" s="4">
        <f t="shared" si="564"/>
        <v>0</v>
      </c>
      <c r="O948" s="5">
        <f t="shared" si="565"/>
        <v>51</v>
      </c>
      <c r="P948" s="6" t="str">
        <f t="shared" si="566"/>
        <v>46 To 60 Days</v>
      </c>
      <c r="Q948" s="7">
        <v>42855</v>
      </c>
      <c r="R948" s="6" t="s">
        <v>2178</v>
      </c>
      <c r="S948" s="1">
        <v>139.54</v>
      </c>
      <c r="T948" s="1" t="s">
        <v>31</v>
      </c>
      <c r="V948" s="1" t="s">
        <v>13</v>
      </c>
      <c r="W948" s="2">
        <v>42805</v>
      </c>
      <c r="X948" s="1" t="s">
        <v>14</v>
      </c>
      <c r="Y948" s="1" t="str">
        <f>"4912890127"</f>
        <v>4912890127</v>
      </c>
    </row>
    <row r="949" spans="1:25" x14ac:dyDescent="0.2">
      <c r="A949" s="9" t="s">
        <v>1594</v>
      </c>
      <c r="B949" s="10">
        <v>42826</v>
      </c>
      <c r="C949" s="9" t="s">
        <v>1595</v>
      </c>
      <c r="D949" s="9" t="s">
        <v>164</v>
      </c>
      <c r="E949" s="9" t="s">
        <v>2190</v>
      </c>
      <c r="F949" s="9">
        <v>0</v>
      </c>
      <c r="G949" s="8">
        <v>9495</v>
      </c>
      <c r="H949" s="4">
        <f t="shared" si="558"/>
        <v>9495</v>
      </c>
      <c r="I949" s="4">
        <f t="shared" si="559"/>
        <v>0</v>
      </c>
      <c r="J949" s="4">
        <f t="shared" si="560"/>
        <v>0</v>
      </c>
      <c r="K949" s="4">
        <f t="shared" si="561"/>
        <v>0</v>
      </c>
      <c r="L949" s="4">
        <f t="shared" si="562"/>
        <v>0</v>
      </c>
      <c r="M949" s="4">
        <f t="shared" si="563"/>
        <v>0</v>
      </c>
      <c r="N949" s="4">
        <f t="shared" si="564"/>
        <v>0</v>
      </c>
      <c r="O949" s="5">
        <f t="shared" si="565"/>
        <v>29</v>
      </c>
      <c r="P949" s="6" t="str">
        <f t="shared" si="566"/>
        <v>30 Days</v>
      </c>
      <c r="Q949" s="7">
        <v>42855</v>
      </c>
      <c r="R949" s="6" t="s">
        <v>2178</v>
      </c>
      <c r="Y949" s="1" t="str">
        <f>"4711240268"</f>
        <v>4711240268</v>
      </c>
    </row>
    <row r="950" spans="1:25" x14ac:dyDescent="0.2">
      <c r="A950" s="9" t="s">
        <v>1411</v>
      </c>
      <c r="B950" s="10">
        <v>42822</v>
      </c>
      <c r="C950" s="9" t="s">
        <v>1412</v>
      </c>
      <c r="D950" s="9" t="s">
        <v>133</v>
      </c>
      <c r="E950" s="9" t="s">
        <v>2190</v>
      </c>
      <c r="F950" s="9">
        <v>20000000</v>
      </c>
      <c r="G950" s="8">
        <v>9510</v>
      </c>
      <c r="H950" s="4">
        <f t="shared" si="558"/>
        <v>0</v>
      </c>
      <c r="I950" s="4">
        <f t="shared" si="559"/>
        <v>9510</v>
      </c>
      <c r="J950" s="4">
        <f t="shared" si="560"/>
        <v>0</v>
      </c>
      <c r="K950" s="4">
        <f t="shared" si="561"/>
        <v>0</v>
      </c>
      <c r="L950" s="4">
        <f t="shared" si="562"/>
        <v>0</v>
      </c>
      <c r="M950" s="4">
        <f t="shared" si="563"/>
        <v>0</v>
      </c>
      <c r="N950" s="4">
        <f t="shared" si="564"/>
        <v>0</v>
      </c>
      <c r="O950" s="5">
        <f t="shared" si="565"/>
        <v>33</v>
      </c>
      <c r="P950" s="6" t="str">
        <f t="shared" si="566"/>
        <v>31 TO 45 Days</v>
      </c>
      <c r="Q950" s="7">
        <v>42855</v>
      </c>
      <c r="R950" s="6" t="s">
        <v>2178</v>
      </c>
      <c r="V950" s="1" t="s">
        <v>13</v>
      </c>
      <c r="W950" s="2">
        <v>42822</v>
      </c>
      <c r="X950" s="1" t="s">
        <v>14</v>
      </c>
      <c r="Y950" s="1" t="str">
        <f>"4570270553"</f>
        <v>4570270553</v>
      </c>
    </row>
    <row r="951" spans="1:25" x14ac:dyDescent="0.2">
      <c r="A951" s="9" t="s">
        <v>539</v>
      </c>
      <c r="B951" s="10">
        <v>42776</v>
      </c>
      <c r="C951" s="9" t="s">
        <v>540</v>
      </c>
      <c r="D951" s="9" t="s">
        <v>164</v>
      </c>
      <c r="E951" s="9" t="s">
        <v>2190</v>
      </c>
      <c r="F951" s="9">
        <v>0</v>
      </c>
      <c r="G951" s="8">
        <v>9519</v>
      </c>
      <c r="H951" s="4">
        <f t="shared" si="558"/>
        <v>0</v>
      </c>
      <c r="I951" s="4">
        <f t="shared" si="559"/>
        <v>0</v>
      </c>
      <c r="J951" s="4">
        <f t="shared" si="560"/>
        <v>0</v>
      </c>
      <c r="K951" s="4">
        <f t="shared" si="561"/>
        <v>9519</v>
      </c>
      <c r="L951" s="4">
        <f t="shared" si="562"/>
        <v>0</v>
      </c>
      <c r="M951" s="4">
        <f t="shared" si="563"/>
        <v>0</v>
      </c>
      <c r="N951" s="4">
        <f t="shared" si="564"/>
        <v>9519</v>
      </c>
      <c r="O951" s="5">
        <f t="shared" si="565"/>
        <v>79</v>
      </c>
      <c r="P951" s="6" t="str">
        <f t="shared" si="566"/>
        <v>61 To 90 Days</v>
      </c>
      <c r="Q951" s="7">
        <v>42855</v>
      </c>
      <c r="R951" s="6" t="s">
        <v>2178</v>
      </c>
      <c r="Y951" s="1" t="str">
        <f>"4711228179"</f>
        <v>4711228179</v>
      </c>
    </row>
    <row r="952" spans="1:25" x14ac:dyDescent="0.2">
      <c r="A952" s="9" t="s">
        <v>680</v>
      </c>
      <c r="B952" s="10">
        <v>42790</v>
      </c>
      <c r="C952" s="9" t="s">
        <v>681</v>
      </c>
      <c r="D952" s="9" t="s">
        <v>164</v>
      </c>
      <c r="E952" s="9" t="s">
        <v>2190</v>
      </c>
      <c r="F952" s="9">
        <v>0</v>
      </c>
      <c r="G952" s="8">
        <v>9529</v>
      </c>
      <c r="H952" s="4">
        <f t="shared" si="558"/>
        <v>0</v>
      </c>
      <c r="I952" s="4">
        <f t="shared" si="559"/>
        <v>0</v>
      </c>
      <c r="J952" s="4">
        <f t="shared" si="560"/>
        <v>0</v>
      </c>
      <c r="K952" s="4">
        <f t="shared" si="561"/>
        <v>9529</v>
      </c>
      <c r="L952" s="4">
        <f t="shared" si="562"/>
        <v>0</v>
      </c>
      <c r="M952" s="4">
        <f t="shared" si="563"/>
        <v>0</v>
      </c>
      <c r="N952" s="4">
        <f t="shared" si="564"/>
        <v>9529</v>
      </c>
      <c r="O952" s="5">
        <f t="shared" si="565"/>
        <v>65</v>
      </c>
      <c r="P952" s="6" t="str">
        <f t="shared" si="566"/>
        <v>61 To 90 Days</v>
      </c>
      <c r="Q952" s="7">
        <v>42855</v>
      </c>
      <c r="R952" s="6" t="s">
        <v>2178</v>
      </c>
      <c r="Y952" s="1" t="str">
        <f>"4711230848"</f>
        <v>4711230848</v>
      </c>
    </row>
    <row r="953" spans="1:25" x14ac:dyDescent="0.2">
      <c r="A953" s="9" t="s">
        <v>768</v>
      </c>
      <c r="B953" s="10">
        <v>42793</v>
      </c>
      <c r="C953" s="9" t="s">
        <v>769</v>
      </c>
      <c r="D953" s="9" t="s">
        <v>15</v>
      </c>
      <c r="E953" s="9" t="s">
        <v>2190</v>
      </c>
      <c r="F953" s="9">
        <v>5000000</v>
      </c>
      <c r="G953" s="8">
        <v>9531</v>
      </c>
      <c r="H953" s="4">
        <f t="shared" si="558"/>
        <v>0</v>
      </c>
      <c r="I953" s="4">
        <f t="shared" si="559"/>
        <v>0</v>
      </c>
      <c r="J953" s="4">
        <f t="shared" si="560"/>
        <v>0</v>
      </c>
      <c r="K953" s="4">
        <f t="shared" si="561"/>
        <v>9531</v>
      </c>
      <c r="L953" s="4">
        <f t="shared" si="562"/>
        <v>0</v>
      </c>
      <c r="M953" s="4">
        <f t="shared" si="563"/>
        <v>0</v>
      </c>
      <c r="N953" s="4">
        <f t="shared" si="564"/>
        <v>9531</v>
      </c>
      <c r="O953" s="5">
        <f t="shared" si="565"/>
        <v>62</v>
      </c>
      <c r="P953" s="6" t="str">
        <f t="shared" si="566"/>
        <v>61 To 90 Days</v>
      </c>
      <c r="Q953" s="7">
        <v>42855</v>
      </c>
      <c r="R953" s="6" t="s">
        <v>2178</v>
      </c>
      <c r="Y953" s="1" t="str">
        <f>"419165757"</f>
        <v>419165757</v>
      </c>
    </row>
    <row r="954" spans="1:25" x14ac:dyDescent="0.2">
      <c r="A954" s="9" t="s">
        <v>1332</v>
      </c>
      <c r="B954" s="10">
        <v>42819</v>
      </c>
      <c r="C954" s="9" t="s">
        <v>1333</v>
      </c>
      <c r="D954" s="9" t="s">
        <v>157</v>
      </c>
      <c r="E954" s="9" t="s">
        <v>2190</v>
      </c>
      <c r="F954" s="9">
        <v>200000</v>
      </c>
      <c r="G954" s="8">
        <v>9540</v>
      </c>
      <c r="H954" s="4">
        <f t="shared" si="558"/>
        <v>0</v>
      </c>
      <c r="I954" s="4">
        <f t="shared" si="559"/>
        <v>9540</v>
      </c>
      <c r="J954" s="4">
        <f t="shared" si="560"/>
        <v>0</v>
      </c>
      <c r="K954" s="4">
        <f t="shared" si="561"/>
        <v>0</v>
      </c>
      <c r="L954" s="4">
        <f t="shared" si="562"/>
        <v>0</v>
      </c>
      <c r="M954" s="4">
        <f t="shared" si="563"/>
        <v>0</v>
      </c>
      <c r="N954" s="4">
        <f t="shared" si="564"/>
        <v>0</v>
      </c>
      <c r="O954" s="5">
        <f t="shared" si="565"/>
        <v>36</v>
      </c>
      <c r="P954" s="6" t="str">
        <f t="shared" si="566"/>
        <v>31 TO 45 Days</v>
      </c>
      <c r="Q954" s="7">
        <v>42855</v>
      </c>
      <c r="R954" s="6" t="s">
        <v>2178</v>
      </c>
      <c r="Y954" s="1" t="str">
        <f>"4600157897"</f>
        <v>4600157897</v>
      </c>
    </row>
    <row r="955" spans="1:25" x14ac:dyDescent="0.2">
      <c r="A955" s="9" t="s">
        <v>512</v>
      </c>
      <c r="B955" s="10">
        <v>42774</v>
      </c>
      <c r="C955" s="9" t="s">
        <v>513</v>
      </c>
      <c r="D955" s="9" t="s">
        <v>270</v>
      </c>
      <c r="E955" s="9" t="s">
        <v>2190</v>
      </c>
      <c r="F955" s="9">
        <v>0</v>
      </c>
      <c r="G955" s="8">
        <v>9552</v>
      </c>
      <c r="H955" s="4">
        <f t="shared" si="558"/>
        <v>0</v>
      </c>
      <c r="I955" s="4">
        <f t="shared" si="559"/>
        <v>0</v>
      </c>
      <c r="J955" s="4">
        <f t="shared" si="560"/>
        <v>0</v>
      </c>
      <c r="K955" s="4">
        <f t="shared" si="561"/>
        <v>9552</v>
      </c>
      <c r="L955" s="4">
        <f t="shared" si="562"/>
        <v>0</v>
      </c>
      <c r="M955" s="4">
        <f t="shared" si="563"/>
        <v>0</v>
      </c>
      <c r="N955" s="4">
        <f t="shared" si="564"/>
        <v>9552</v>
      </c>
      <c r="O955" s="5">
        <f t="shared" si="565"/>
        <v>81</v>
      </c>
      <c r="P955" s="6" t="str">
        <f t="shared" si="566"/>
        <v>61 To 90 Days</v>
      </c>
      <c r="Q955" s="7">
        <v>42855</v>
      </c>
      <c r="R955" s="6" t="s">
        <v>2178</v>
      </c>
      <c r="Y955" s="1" t="str">
        <f>"416563847"</f>
        <v>416563847</v>
      </c>
    </row>
    <row r="956" spans="1:25" x14ac:dyDescent="0.2">
      <c r="A956" s="9" t="s">
        <v>226</v>
      </c>
      <c r="B956" s="10">
        <v>42733</v>
      </c>
      <c r="C956" s="9" t="s">
        <v>227</v>
      </c>
      <c r="D956" s="9" t="s">
        <v>133</v>
      </c>
      <c r="E956" s="9" t="s">
        <v>2190</v>
      </c>
      <c r="F956" s="9">
        <v>20000000</v>
      </c>
      <c r="G956" s="8">
        <v>9552</v>
      </c>
      <c r="H956" s="4">
        <f t="shared" si="558"/>
        <v>0</v>
      </c>
      <c r="I956" s="4">
        <f t="shared" si="559"/>
        <v>0</v>
      </c>
      <c r="J956" s="4">
        <f t="shared" si="560"/>
        <v>0</v>
      </c>
      <c r="K956" s="4">
        <f t="shared" si="561"/>
        <v>0</v>
      </c>
      <c r="L956" s="4">
        <f t="shared" si="562"/>
        <v>0</v>
      </c>
      <c r="M956" s="4">
        <f t="shared" si="563"/>
        <v>9552</v>
      </c>
      <c r="N956" s="4">
        <f t="shared" si="564"/>
        <v>9552</v>
      </c>
      <c r="O956" s="5">
        <f t="shared" si="565"/>
        <v>122</v>
      </c>
      <c r="P956" s="6" t="str">
        <f t="shared" si="566"/>
        <v>Plus120Days</v>
      </c>
      <c r="Q956" s="7">
        <v>42855</v>
      </c>
      <c r="R956" s="6" t="s">
        <v>2178</v>
      </c>
      <c r="V956" s="1" t="s">
        <v>13</v>
      </c>
      <c r="Y956" s="1" t="str">
        <f>"4750383047"</f>
        <v>4750383047</v>
      </c>
    </row>
    <row r="957" spans="1:25" x14ac:dyDescent="0.2">
      <c r="A957" s="9" t="s">
        <v>947</v>
      </c>
      <c r="B957" s="10">
        <v>42802</v>
      </c>
      <c r="C957" s="9" t="s">
        <v>948</v>
      </c>
      <c r="D957" s="9" t="s">
        <v>666</v>
      </c>
      <c r="E957" s="9" t="s">
        <v>2190</v>
      </c>
      <c r="F957" s="9">
        <v>3377500</v>
      </c>
      <c r="G957" s="8">
        <v>9555</v>
      </c>
      <c r="H957" s="4">
        <f t="shared" si="558"/>
        <v>0</v>
      </c>
      <c r="I957" s="4">
        <f t="shared" si="559"/>
        <v>0</v>
      </c>
      <c r="J957" s="4">
        <f t="shared" si="560"/>
        <v>9555</v>
      </c>
      <c r="K957" s="4">
        <f t="shared" si="561"/>
        <v>0</v>
      </c>
      <c r="L957" s="4">
        <f t="shared" si="562"/>
        <v>0</v>
      </c>
      <c r="M957" s="4">
        <f t="shared" si="563"/>
        <v>0</v>
      </c>
      <c r="N957" s="4">
        <f t="shared" si="564"/>
        <v>0</v>
      </c>
      <c r="O957" s="5">
        <f t="shared" si="565"/>
        <v>53</v>
      </c>
      <c r="P957" s="6" t="str">
        <f t="shared" si="566"/>
        <v>46 To 60 Days</v>
      </c>
      <c r="Q957" s="7">
        <v>42855</v>
      </c>
      <c r="R957" s="6" t="s">
        <v>2178</v>
      </c>
      <c r="S957" s="1">
        <v>140.9</v>
      </c>
      <c r="T957" s="1" t="s">
        <v>31</v>
      </c>
      <c r="V957" s="1" t="s">
        <v>13</v>
      </c>
      <c r="W957" s="2">
        <v>42803</v>
      </c>
      <c r="X957" s="1" t="s">
        <v>14</v>
      </c>
      <c r="Y957" s="1" t="str">
        <f>"4912888043"</f>
        <v>4912888043</v>
      </c>
    </row>
    <row r="958" spans="1:25" x14ac:dyDescent="0.2">
      <c r="A958" s="9" t="s">
        <v>737</v>
      </c>
      <c r="B958" s="10">
        <v>42793</v>
      </c>
      <c r="C958" s="9" t="s">
        <v>738</v>
      </c>
      <c r="D958" s="9" t="s">
        <v>148</v>
      </c>
      <c r="E958" s="9" t="s">
        <v>2190</v>
      </c>
      <c r="F958" s="9">
        <v>500000</v>
      </c>
      <c r="G958" s="8">
        <v>9573</v>
      </c>
      <c r="H958" s="4">
        <f t="shared" si="558"/>
        <v>0</v>
      </c>
      <c r="I958" s="4">
        <f t="shared" si="559"/>
        <v>0</v>
      </c>
      <c r="J958" s="4">
        <f t="shared" si="560"/>
        <v>0</v>
      </c>
      <c r="K958" s="4">
        <f t="shared" si="561"/>
        <v>9573</v>
      </c>
      <c r="L958" s="4">
        <f t="shared" si="562"/>
        <v>0</v>
      </c>
      <c r="M958" s="4">
        <f t="shared" si="563"/>
        <v>0</v>
      </c>
      <c r="N958" s="4">
        <f t="shared" si="564"/>
        <v>9573</v>
      </c>
      <c r="O958" s="5">
        <f t="shared" si="565"/>
        <v>62</v>
      </c>
      <c r="P958" s="6" t="str">
        <f t="shared" si="566"/>
        <v>61 To 90 Days</v>
      </c>
      <c r="Q958" s="7">
        <v>42855</v>
      </c>
      <c r="R958" s="6" t="s">
        <v>2178</v>
      </c>
      <c r="Y958" s="1" t="str">
        <f>"4540130297"</f>
        <v>4540130297</v>
      </c>
    </row>
    <row r="959" spans="1:25" x14ac:dyDescent="0.2">
      <c r="A959" s="9" t="s">
        <v>464</v>
      </c>
      <c r="B959" s="10">
        <v>42768</v>
      </c>
      <c r="C959" s="9" t="s">
        <v>465</v>
      </c>
      <c r="D959" s="9" t="s">
        <v>148</v>
      </c>
      <c r="E959" s="9" t="s">
        <v>2190</v>
      </c>
      <c r="F959" s="9">
        <v>500000</v>
      </c>
      <c r="G959" s="8">
        <v>9574</v>
      </c>
      <c r="H959" s="4">
        <f t="shared" si="558"/>
        <v>0</v>
      </c>
      <c r="I959" s="4">
        <f t="shared" si="559"/>
        <v>0</v>
      </c>
      <c r="J959" s="4">
        <f t="shared" si="560"/>
        <v>0</v>
      </c>
      <c r="K959" s="4">
        <f t="shared" si="561"/>
        <v>9574</v>
      </c>
      <c r="L959" s="4">
        <f t="shared" si="562"/>
        <v>0</v>
      </c>
      <c r="M959" s="4">
        <f t="shared" si="563"/>
        <v>0</v>
      </c>
      <c r="N959" s="4">
        <f t="shared" si="564"/>
        <v>9574</v>
      </c>
      <c r="O959" s="5">
        <f t="shared" si="565"/>
        <v>87</v>
      </c>
      <c r="P959" s="6" t="str">
        <f t="shared" si="566"/>
        <v>61 To 90 Days</v>
      </c>
      <c r="Q959" s="7">
        <v>42855</v>
      </c>
      <c r="R959" s="6" t="s">
        <v>2178</v>
      </c>
      <c r="Y959" s="1" t="str">
        <f>"4750385637"</f>
        <v>4750385637</v>
      </c>
    </row>
    <row r="960" spans="1:25" x14ac:dyDescent="0.2">
      <c r="A960" s="9" t="s">
        <v>1260</v>
      </c>
      <c r="B960" s="10">
        <v>42818</v>
      </c>
      <c r="C960" s="9" t="s">
        <v>1261</v>
      </c>
      <c r="D960" s="9" t="s">
        <v>17</v>
      </c>
      <c r="E960" s="9" t="s">
        <v>2190</v>
      </c>
      <c r="F960" s="9">
        <v>500000</v>
      </c>
      <c r="G960" s="8">
        <v>9584</v>
      </c>
      <c r="H960" s="4">
        <f t="shared" si="558"/>
        <v>0</v>
      </c>
      <c r="I960" s="4">
        <f t="shared" si="559"/>
        <v>9584</v>
      </c>
      <c r="J960" s="4">
        <f t="shared" si="560"/>
        <v>0</v>
      </c>
      <c r="K960" s="4">
        <f t="shared" si="561"/>
        <v>0</v>
      </c>
      <c r="L960" s="4">
        <f t="shared" si="562"/>
        <v>0</v>
      </c>
      <c r="M960" s="4">
        <f t="shared" si="563"/>
        <v>0</v>
      </c>
      <c r="N960" s="4">
        <f t="shared" si="564"/>
        <v>0</v>
      </c>
      <c r="O960" s="5">
        <f t="shared" si="565"/>
        <v>37</v>
      </c>
      <c r="P960" s="6" t="str">
        <f t="shared" si="566"/>
        <v>31 TO 45 Days</v>
      </c>
      <c r="Q960" s="7">
        <v>42855</v>
      </c>
      <c r="R960" s="6" t="s">
        <v>2178</v>
      </c>
      <c r="Y960" s="1" t="str">
        <f>"418547293"</f>
        <v>418547293</v>
      </c>
    </row>
    <row r="961" spans="1:25" x14ac:dyDescent="0.2">
      <c r="A961" s="9" t="s">
        <v>1170</v>
      </c>
      <c r="B961" s="10">
        <v>42815</v>
      </c>
      <c r="C961" s="9" t="s">
        <v>1171</v>
      </c>
      <c r="D961" s="9" t="s">
        <v>241</v>
      </c>
      <c r="E961" s="9" t="s">
        <v>2190</v>
      </c>
      <c r="F961" s="9">
        <v>75000</v>
      </c>
      <c r="G961" s="8">
        <v>9599</v>
      </c>
      <c r="H961" s="4">
        <f t="shared" si="558"/>
        <v>0</v>
      </c>
      <c r="I961" s="4">
        <f t="shared" si="559"/>
        <v>9599</v>
      </c>
      <c r="J961" s="4">
        <f t="shared" si="560"/>
        <v>0</v>
      </c>
      <c r="K961" s="4">
        <f t="shared" si="561"/>
        <v>0</v>
      </c>
      <c r="L961" s="4">
        <f t="shared" si="562"/>
        <v>0</v>
      </c>
      <c r="M961" s="4">
        <f t="shared" si="563"/>
        <v>0</v>
      </c>
      <c r="N961" s="4">
        <f t="shared" si="564"/>
        <v>0</v>
      </c>
      <c r="O961" s="5">
        <f t="shared" si="565"/>
        <v>40</v>
      </c>
      <c r="P961" s="6" t="str">
        <f t="shared" si="566"/>
        <v>31 TO 45 Days</v>
      </c>
      <c r="Q961" s="7">
        <v>42855</v>
      </c>
      <c r="R961" s="6" t="s">
        <v>2178</v>
      </c>
      <c r="Y961" s="1" t="str">
        <f>"4850056903"</f>
        <v>4850056903</v>
      </c>
    </row>
    <row r="962" spans="1:25" x14ac:dyDescent="0.2">
      <c r="A962" s="9" t="s">
        <v>1850</v>
      </c>
      <c r="B962" s="10">
        <v>42835</v>
      </c>
      <c r="C962" s="9" t="s">
        <v>1851</v>
      </c>
      <c r="D962" s="9" t="s">
        <v>17</v>
      </c>
      <c r="E962" s="9" t="s">
        <v>2190</v>
      </c>
      <c r="F962" s="9">
        <v>500000</v>
      </c>
      <c r="G962" s="8">
        <v>9611</v>
      </c>
      <c r="H962" s="4">
        <f t="shared" ref="H962:H983" si="567">IF(O962&lt;=30,G962,0)</f>
        <v>9611</v>
      </c>
      <c r="I962" s="4">
        <f t="shared" ref="I962:I983" si="568">IF(AND(O962&gt;30,O962&lt;=45),G962,0)</f>
        <v>0</v>
      </c>
      <c r="J962" s="4">
        <f t="shared" ref="J962:J983" si="569">IF(AND(O962&gt;45,O962&lt;=60),G962,0)</f>
        <v>0</v>
      </c>
      <c r="K962" s="4">
        <f t="shared" ref="K962:K983" si="570">IF(AND(O962&gt;60,O962&lt;=90),G962,0)</f>
        <v>0</v>
      </c>
      <c r="L962" s="4">
        <f t="shared" ref="L962:L983" si="571">IF(AND(O962&gt;90,O962&lt;=120),G962,0)</f>
        <v>0</v>
      </c>
      <c r="M962" s="4">
        <f t="shared" ref="M962:M983" si="572">IF(O962&gt;120,G962,0)</f>
        <v>0</v>
      </c>
      <c r="N962" s="4">
        <f t="shared" ref="N962:N983" si="573">IF(O962&gt;60,G962,0)</f>
        <v>0</v>
      </c>
      <c r="O962" s="5">
        <f t="shared" ref="O962:O983" si="574">Q962-B962</f>
        <v>20</v>
      </c>
      <c r="P962" s="6" t="str">
        <f t="shared" ref="P962:P983" si="575">IF(AND(O962&lt;=30),"30 Days",IF(AND(O962&gt;30,O962&lt;=45),"31 TO 45 Days",IF(AND(O962&gt;45,O962&lt;=60),"46 To 60 Days",IF(AND(O962&gt;60,O962&lt;=90),"61 To 90 Days",IF(AND(O962&gt;90,O962&lt;=120),"91 To 120 Days",IF(AND(O962&gt;120),"Plus120Days",))))))</f>
        <v>30 Days</v>
      </c>
      <c r="Q962" s="7">
        <v>42855</v>
      </c>
      <c r="R962" s="6" t="str">
        <f>VLOOKUP(A962:A5839,[1]BOM_INV_OPERATOR_DETAILS_OUTPUT!$A$2:$D$1233,4,FALSE)</f>
        <v>AI</v>
      </c>
      <c r="Y962" s="1" t="str">
        <f>"4540131561"</f>
        <v>4540131561</v>
      </c>
    </row>
    <row r="963" spans="1:25" x14ac:dyDescent="0.2">
      <c r="A963" s="9" t="s">
        <v>573</v>
      </c>
      <c r="B963" s="10">
        <v>42780</v>
      </c>
      <c r="C963" s="9" t="s">
        <v>574</v>
      </c>
      <c r="D963" s="9" t="s">
        <v>270</v>
      </c>
      <c r="E963" s="9" t="s">
        <v>2190</v>
      </c>
      <c r="F963" s="9">
        <v>0</v>
      </c>
      <c r="G963" s="8">
        <v>9615</v>
      </c>
      <c r="H963" s="4">
        <f t="shared" si="567"/>
        <v>0</v>
      </c>
      <c r="I963" s="4">
        <f t="shared" si="568"/>
        <v>0</v>
      </c>
      <c r="J963" s="4">
        <f t="shared" si="569"/>
        <v>0</v>
      </c>
      <c r="K963" s="4">
        <f t="shared" si="570"/>
        <v>9615</v>
      </c>
      <c r="L963" s="4">
        <f t="shared" si="571"/>
        <v>0</v>
      </c>
      <c r="M963" s="4">
        <f t="shared" si="572"/>
        <v>0</v>
      </c>
      <c r="N963" s="4">
        <f t="shared" si="573"/>
        <v>9615</v>
      </c>
      <c r="O963" s="5">
        <f t="shared" si="574"/>
        <v>75</v>
      </c>
      <c r="P963" s="6" t="str">
        <f t="shared" si="575"/>
        <v>61 To 90 Days</v>
      </c>
      <c r="Q963" s="7">
        <v>42855</v>
      </c>
      <c r="R963" s="6" t="s">
        <v>2178</v>
      </c>
      <c r="Y963" s="1" t="str">
        <f>"4560217251"</f>
        <v>4560217251</v>
      </c>
    </row>
    <row r="964" spans="1:25" x14ac:dyDescent="0.2">
      <c r="A964" s="9" t="s">
        <v>776</v>
      </c>
      <c r="B964" s="10">
        <v>42793</v>
      </c>
      <c r="C964" s="9" t="s">
        <v>777</v>
      </c>
      <c r="D964" s="9" t="s">
        <v>270</v>
      </c>
      <c r="E964" s="9" t="s">
        <v>2190</v>
      </c>
      <c r="F964" s="9">
        <v>0</v>
      </c>
      <c r="G964" s="8">
        <v>9615</v>
      </c>
      <c r="H964" s="4">
        <f t="shared" si="567"/>
        <v>0</v>
      </c>
      <c r="I964" s="4">
        <f t="shared" si="568"/>
        <v>0</v>
      </c>
      <c r="J964" s="4">
        <f t="shared" si="569"/>
        <v>0</v>
      </c>
      <c r="K964" s="4">
        <f t="shared" si="570"/>
        <v>9615</v>
      </c>
      <c r="L964" s="4">
        <f t="shared" si="571"/>
        <v>0</v>
      </c>
      <c r="M964" s="4">
        <f t="shared" si="572"/>
        <v>0</v>
      </c>
      <c r="N964" s="4">
        <f t="shared" si="573"/>
        <v>9615</v>
      </c>
      <c r="O964" s="5">
        <f t="shared" si="574"/>
        <v>62</v>
      </c>
      <c r="P964" s="6" t="str">
        <f t="shared" si="575"/>
        <v>61 To 90 Days</v>
      </c>
      <c r="Q964" s="7">
        <v>42855</v>
      </c>
      <c r="R964" s="6" t="s">
        <v>2178</v>
      </c>
      <c r="Y964" s="1" t="str">
        <f>"4560217827"</f>
        <v>4560217827</v>
      </c>
    </row>
    <row r="965" spans="1:25" x14ac:dyDescent="0.2">
      <c r="A965" s="9" t="s">
        <v>925</v>
      </c>
      <c r="B965" s="10">
        <v>42802</v>
      </c>
      <c r="C965" s="9" t="s">
        <v>926</v>
      </c>
      <c r="D965" s="9" t="s">
        <v>270</v>
      </c>
      <c r="E965" s="9" t="s">
        <v>2190</v>
      </c>
      <c r="F965" s="9">
        <v>0</v>
      </c>
      <c r="G965" s="8">
        <v>9615</v>
      </c>
      <c r="H965" s="4">
        <f t="shared" si="567"/>
        <v>0</v>
      </c>
      <c r="I965" s="4">
        <f t="shared" si="568"/>
        <v>0</v>
      </c>
      <c r="J965" s="4">
        <f t="shared" si="569"/>
        <v>9615</v>
      </c>
      <c r="K965" s="4">
        <f t="shared" si="570"/>
        <v>0</v>
      </c>
      <c r="L965" s="4">
        <f t="shared" si="571"/>
        <v>0</v>
      </c>
      <c r="M965" s="4">
        <f t="shared" si="572"/>
        <v>0</v>
      </c>
      <c r="N965" s="4">
        <f t="shared" si="573"/>
        <v>0</v>
      </c>
      <c r="O965" s="5">
        <f t="shared" si="574"/>
        <v>53</v>
      </c>
      <c r="P965" s="6" t="str">
        <f t="shared" si="575"/>
        <v>46 To 60 Days</v>
      </c>
      <c r="Q965" s="7">
        <v>42855</v>
      </c>
      <c r="R965" s="6" t="s">
        <v>2178</v>
      </c>
      <c r="Y965" s="1" t="str">
        <f>"4560218095"</f>
        <v>4560218095</v>
      </c>
    </row>
    <row r="966" spans="1:25" x14ac:dyDescent="0.2">
      <c r="A966" s="9" t="s">
        <v>508</v>
      </c>
      <c r="B966" s="10">
        <v>42774</v>
      </c>
      <c r="C966" s="9" t="s">
        <v>509</v>
      </c>
      <c r="D966" s="9" t="s">
        <v>148</v>
      </c>
      <c r="E966" s="9" t="s">
        <v>2190</v>
      </c>
      <c r="F966" s="9">
        <v>500000</v>
      </c>
      <c r="G966" s="8">
        <v>9627</v>
      </c>
      <c r="H966" s="4">
        <f t="shared" si="567"/>
        <v>0</v>
      </c>
      <c r="I966" s="4">
        <f t="shared" si="568"/>
        <v>0</v>
      </c>
      <c r="J966" s="4">
        <f t="shared" si="569"/>
        <v>0</v>
      </c>
      <c r="K966" s="4">
        <f t="shared" si="570"/>
        <v>9627</v>
      </c>
      <c r="L966" s="4">
        <f t="shared" si="571"/>
        <v>0</v>
      </c>
      <c r="M966" s="4">
        <f t="shared" si="572"/>
        <v>0</v>
      </c>
      <c r="N966" s="4">
        <f t="shared" si="573"/>
        <v>9627</v>
      </c>
      <c r="O966" s="5">
        <f t="shared" si="574"/>
        <v>81</v>
      </c>
      <c r="P966" s="6" t="str">
        <f t="shared" si="575"/>
        <v>61 To 90 Days</v>
      </c>
      <c r="Q966" s="7">
        <v>42855</v>
      </c>
      <c r="R966" s="6" t="s">
        <v>2178</v>
      </c>
      <c r="Y966" s="1" t="str">
        <f>"4750385862"</f>
        <v>4750385862</v>
      </c>
    </row>
    <row r="967" spans="1:25" x14ac:dyDescent="0.2">
      <c r="A967" s="9" t="s">
        <v>377</v>
      </c>
      <c r="B967" s="10">
        <v>42759</v>
      </c>
      <c r="C967" s="9" t="s">
        <v>378</v>
      </c>
      <c r="D967" s="9" t="s">
        <v>161</v>
      </c>
      <c r="E967" s="9" t="s">
        <v>2190</v>
      </c>
      <c r="F967" s="9">
        <v>0</v>
      </c>
      <c r="G967" s="8">
        <v>9631</v>
      </c>
      <c r="H967" s="4">
        <f t="shared" si="567"/>
        <v>0</v>
      </c>
      <c r="I967" s="4">
        <f t="shared" si="568"/>
        <v>0</v>
      </c>
      <c r="J967" s="4">
        <f t="shared" si="569"/>
        <v>0</v>
      </c>
      <c r="K967" s="4">
        <f t="shared" si="570"/>
        <v>0</v>
      </c>
      <c r="L967" s="4">
        <f t="shared" si="571"/>
        <v>9631</v>
      </c>
      <c r="M967" s="4">
        <f t="shared" si="572"/>
        <v>0</v>
      </c>
      <c r="N967" s="4">
        <f t="shared" si="573"/>
        <v>9631</v>
      </c>
      <c r="O967" s="5">
        <f t="shared" si="574"/>
        <v>96</v>
      </c>
      <c r="P967" s="6" t="str">
        <f t="shared" si="575"/>
        <v>91 To 120 Days</v>
      </c>
      <c r="Q967" s="7">
        <v>42855</v>
      </c>
      <c r="R967" s="6" t="s">
        <v>2178</v>
      </c>
      <c r="Y967" s="1" t="str">
        <f>"4711223001"</f>
        <v>4711223001</v>
      </c>
    </row>
    <row r="968" spans="1:25" x14ac:dyDescent="0.2">
      <c r="A968" s="9" t="s">
        <v>755</v>
      </c>
      <c r="B968" s="10">
        <v>42793</v>
      </c>
      <c r="C968" s="9" t="s">
        <v>756</v>
      </c>
      <c r="D968" s="9" t="s">
        <v>466</v>
      </c>
      <c r="E968" s="9" t="s">
        <v>2190</v>
      </c>
      <c r="F968" s="9">
        <v>200000</v>
      </c>
      <c r="G968" s="8">
        <v>9636</v>
      </c>
      <c r="H968" s="4">
        <f t="shared" si="567"/>
        <v>0</v>
      </c>
      <c r="I968" s="4">
        <f t="shared" si="568"/>
        <v>0</v>
      </c>
      <c r="J968" s="4">
        <f t="shared" si="569"/>
        <v>0</v>
      </c>
      <c r="K968" s="4">
        <f t="shared" si="570"/>
        <v>9636</v>
      </c>
      <c r="L968" s="4">
        <f t="shared" si="571"/>
        <v>0</v>
      </c>
      <c r="M968" s="4">
        <f t="shared" si="572"/>
        <v>0</v>
      </c>
      <c r="N968" s="4">
        <f t="shared" si="573"/>
        <v>9636</v>
      </c>
      <c r="O968" s="5">
        <f t="shared" si="574"/>
        <v>62</v>
      </c>
      <c r="P968" s="6" t="str">
        <f t="shared" si="575"/>
        <v>61 To 90 Days</v>
      </c>
      <c r="Q968" s="7">
        <v>42855</v>
      </c>
      <c r="R968" s="6" t="s">
        <v>2178</v>
      </c>
      <c r="Y968" s="1" t="str">
        <f>"4540130014"</f>
        <v>4540130014</v>
      </c>
    </row>
    <row r="969" spans="1:25" x14ac:dyDescent="0.2">
      <c r="A969" s="9" t="s">
        <v>588</v>
      </c>
      <c r="B969" s="10">
        <v>42782</v>
      </c>
      <c r="C969" s="9" t="s">
        <v>589</v>
      </c>
      <c r="D969" s="9" t="s">
        <v>17</v>
      </c>
      <c r="E969" s="9" t="s">
        <v>2190</v>
      </c>
      <c r="F969" s="9">
        <v>500000</v>
      </c>
      <c r="G969" s="8">
        <v>9636</v>
      </c>
      <c r="H969" s="4">
        <f t="shared" si="567"/>
        <v>0</v>
      </c>
      <c r="I969" s="4">
        <f t="shared" si="568"/>
        <v>0</v>
      </c>
      <c r="J969" s="4">
        <f t="shared" si="569"/>
        <v>0</v>
      </c>
      <c r="K969" s="4">
        <f t="shared" si="570"/>
        <v>9636</v>
      </c>
      <c r="L969" s="4">
        <f t="shared" si="571"/>
        <v>0</v>
      </c>
      <c r="M969" s="4">
        <f t="shared" si="572"/>
        <v>0</v>
      </c>
      <c r="N969" s="4">
        <f t="shared" si="573"/>
        <v>9636</v>
      </c>
      <c r="O969" s="5">
        <f t="shared" si="574"/>
        <v>73</v>
      </c>
      <c r="P969" s="6" t="str">
        <f t="shared" si="575"/>
        <v>61 To 90 Days</v>
      </c>
      <c r="Q969" s="7">
        <v>42855</v>
      </c>
      <c r="R969" s="6" t="s">
        <v>2178</v>
      </c>
      <c r="Y969" s="1" t="str">
        <f>"418546743"</f>
        <v>418546743</v>
      </c>
    </row>
    <row r="970" spans="1:25" x14ac:dyDescent="0.2">
      <c r="A970" s="9" t="s">
        <v>835</v>
      </c>
      <c r="B970" s="10">
        <v>42795</v>
      </c>
      <c r="C970" s="9" t="s">
        <v>836</v>
      </c>
      <c r="D970" s="9" t="s">
        <v>140</v>
      </c>
      <c r="E970" s="9" t="s">
        <v>2190</v>
      </c>
      <c r="F970" s="9">
        <v>0</v>
      </c>
      <c r="G970" s="8">
        <v>9640</v>
      </c>
      <c r="H970" s="4">
        <f t="shared" si="567"/>
        <v>0</v>
      </c>
      <c r="I970" s="4">
        <f t="shared" si="568"/>
        <v>0</v>
      </c>
      <c r="J970" s="4">
        <f t="shared" si="569"/>
        <v>9640</v>
      </c>
      <c r="K970" s="4">
        <f t="shared" si="570"/>
        <v>0</v>
      </c>
      <c r="L970" s="4">
        <f t="shared" si="571"/>
        <v>0</v>
      </c>
      <c r="M970" s="4">
        <f t="shared" si="572"/>
        <v>0</v>
      </c>
      <c r="N970" s="4">
        <f t="shared" si="573"/>
        <v>0</v>
      </c>
      <c r="O970" s="5">
        <f t="shared" si="574"/>
        <v>60</v>
      </c>
      <c r="P970" s="6" t="str">
        <f t="shared" si="575"/>
        <v>46 To 60 Days</v>
      </c>
      <c r="Q970" s="7">
        <v>42855</v>
      </c>
      <c r="R970" s="6" t="s">
        <v>2178</v>
      </c>
      <c r="Y970" s="1" t="str">
        <f>"4400188615"</f>
        <v>4400188615</v>
      </c>
    </row>
    <row r="971" spans="1:25" x14ac:dyDescent="0.2">
      <c r="A971" s="9" t="s">
        <v>660</v>
      </c>
      <c r="B971" s="10">
        <v>42787</v>
      </c>
      <c r="C971" s="9" t="s">
        <v>661</v>
      </c>
      <c r="D971" s="9" t="s">
        <v>17</v>
      </c>
      <c r="E971" s="9" t="s">
        <v>2190</v>
      </c>
      <c r="F971" s="9">
        <v>500000</v>
      </c>
      <c r="G971" s="8">
        <v>9641</v>
      </c>
      <c r="H971" s="4">
        <f t="shared" si="567"/>
        <v>0</v>
      </c>
      <c r="I971" s="4">
        <f t="shared" si="568"/>
        <v>0</v>
      </c>
      <c r="J971" s="4">
        <f t="shared" si="569"/>
        <v>0</v>
      </c>
      <c r="K971" s="4">
        <f t="shared" si="570"/>
        <v>9641</v>
      </c>
      <c r="L971" s="4">
        <f t="shared" si="571"/>
        <v>0</v>
      </c>
      <c r="M971" s="4">
        <f t="shared" si="572"/>
        <v>0</v>
      </c>
      <c r="N971" s="4">
        <f t="shared" si="573"/>
        <v>9641</v>
      </c>
      <c r="O971" s="5">
        <f t="shared" si="574"/>
        <v>68</v>
      </c>
      <c r="P971" s="6" t="str">
        <f t="shared" si="575"/>
        <v>61 To 90 Days</v>
      </c>
      <c r="Q971" s="7">
        <v>42855</v>
      </c>
      <c r="R971" s="6" t="s">
        <v>2178</v>
      </c>
      <c r="Y971" s="1" t="str">
        <f>"418546816"</f>
        <v>418546816</v>
      </c>
    </row>
    <row r="972" spans="1:25" x14ac:dyDescent="0.2">
      <c r="A972" s="9" t="s">
        <v>957</v>
      </c>
      <c r="B972" s="10">
        <v>42803</v>
      </c>
      <c r="C972" s="9" t="s">
        <v>958</v>
      </c>
      <c r="D972" s="9" t="s">
        <v>163</v>
      </c>
      <c r="E972" s="9" t="s">
        <v>2190</v>
      </c>
      <c r="F972" s="9">
        <v>1000000</v>
      </c>
      <c r="G972" s="8">
        <v>9688</v>
      </c>
      <c r="H972" s="4">
        <f t="shared" si="567"/>
        <v>0</v>
      </c>
      <c r="I972" s="4">
        <f t="shared" si="568"/>
        <v>0</v>
      </c>
      <c r="J972" s="4">
        <f t="shared" si="569"/>
        <v>9688</v>
      </c>
      <c r="K972" s="4">
        <f t="shared" si="570"/>
        <v>0</v>
      </c>
      <c r="L972" s="4">
        <f t="shared" si="571"/>
        <v>0</v>
      </c>
      <c r="M972" s="4">
        <f t="shared" si="572"/>
        <v>0</v>
      </c>
      <c r="N972" s="4">
        <f t="shared" si="573"/>
        <v>0</v>
      </c>
      <c r="O972" s="5">
        <f t="shared" si="574"/>
        <v>52</v>
      </c>
      <c r="P972" s="6" t="str">
        <f t="shared" si="575"/>
        <v>46 To 60 Days</v>
      </c>
      <c r="Q972" s="7">
        <v>42855</v>
      </c>
      <c r="R972" s="6" t="s">
        <v>2178</v>
      </c>
      <c r="Y972" s="1" t="str">
        <f>"4812073424"</f>
        <v>4812073424</v>
      </c>
    </row>
    <row r="973" spans="1:25" x14ac:dyDescent="0.2">
      <c r="A973" s="9" t="s">
        <v>1654</v>
      </c>
      <c r="B973" s="10">
        <v>42828</v>
      </c>
      <c r="C973" s="9" t="s">
        <v>1655</v>
      </c>
      <c r="D973" s="9" t="s">
        <v>164</v>
      </c>
      <c r="E973" s="9" t="s">
        <v>2190</v>
      </c>
      <c r="F973" s="9">
        <v>0</v>
      </c>
      <c r="G973" s="8">
        <v>9698</v>
      </c>
      <c r="H973" s="4">
        <f t="shared" si="567"/>
        <v>9698</v>
      </c>
      <c r="I973" s="4">
        <f t="shared" si="568"/>
        <v>0</v>
      </c>
      <c r="J973" s="4">
        <f t="shared" si="569"/>
        <v>0</v>
      </c>
      <c r="K973" s="4">
        <f t="shared" si="570"/>
        <v>0</v>
      </c>
      <c r="L973" s="4">
        <f t="shared" si="571"/>
        <v>0</v>
      </c>
      <c r="M973" s="4">
        <f t="shared" si="572"/>
        <v>0</v>
      </c>
      <c r="N973" s="4">
        <f t="shared" si="573"/>
        <v>0</v>
      </c>
      <c r="O973" s="5">
        <f t="shared" si="574"/>
        <v>27</v>
      </c>
      <c r="P973" s="6" t="str">
        <f t="shared" si="575"/>
        <v>30 Days</v>
      </c>
      <c r="Q973" s="7">
        <v>42855</v>
      </c>
      <c r="R973" s="6" t="s">
        <v>2178</v>
      </c>
      <c r="Y973" s="1" t="str">
        <f>"4711241242"</f>
        <v>4711241242</v>
      </c>
    </row>
    <row r="974" spans="1:25" x14ac:dyDescent="0.2">
      <c r="A974" s="9" t="s">
        <v>841</v>
      </c>
      <c r="B974" s="10">
        <v>42795</v>
      </c>
      <c r="C974" s="9" t="s">
        <v>842</v>
      </c>
      <c r="D974" s="9" t="s">
        <v>161</v>
      </c>
      <c r="E974" s="9" t="s">
        <v>2190</v>
      </c>
      <c r="F974" s="9">
        <v>0</v>
      </c>
      <c r="G974" s="8">
        <v>9725</v>
      </c>
      <c r="H974" s="4">
        <f t="shared" si="567"/>
        <v>0</v>
      </c>
      <c r="I974" s="4">
        <f t="shared" si="568"/>
        <v>0</v>
      </c>
      <c r="J974" s="4">
        <f t="shared" si="569"/>
        <v>9725</v>
      </c>
      <c r="K974" s="4">
        <f t="shared" si="570"/>
        <v>0</v>
      </c>
      <c r="L974" s="4">
        <f t="shared" si="571"/>
        <v>0</v>
      </c>
      <c r="M974" s="4">
        <f t="shared" si="572"/>
        <v>0</v>
      </c>
      <c r="N974" s="4">
        <f t="shared" si="573"/>
        <v>0</v>
      </c>
      <c r="O974" s="5">
        <f t="shared" si="574"/>
        <v>60</v>
      </c>
      <c r="P974" s="6" t="str">
        <f t="shared" si="575"/>
        <v>46 To 60 Days</v>
      </c>
      <c r="Q974" s="7">
        <v>42855</v>
      </c>
      <c r="R974" s="6" t="s">
        <v>2178</v>
      </c>
      <c r="Y974" s="1" t="str">
        <f>"4711232517"</f>
        <v>4711232517</v>
      </c>
    </row>
    <row r="975" spans="1:25" x14ac:dyDescent="0.2">
      <c r="A975" s="9" t="s">
        <v>1265</v>
      </c>
      <c r="B975" s="10">
        <v>42818</v>
      </c>
      <c r="C975" s="9" t="s">
        <v>1266</v>
      </c>
      <c r="D975" s="9" t="s">
        <v>145</v>
      </c>
      <c r="E975" s="9" t="s">
        <v>2190</v>
      </c>
      <c r="F975" s="9">
        <v>2100000</v>
      </c>
      <c r="G975" s="8">
        <v>9729</v>
      </c>
      <c r="H975" s="4">
        <f t="shared" si="567"/>
        <v>0</v>
      </c>
      <c r="I975" s="4">
        <f t="shared" si="568"/>
        <v>9729</v>
      </c>
      <c r="J975" s="4">
        <f t="shared" si="569"/>
        <v>0</v>
      </c>
      <c r="K975" s="4">
        <f t="shared" si="570"/>
        <v>0</v>
      </c>
      <c r="L975" s="4">
        <f t="shared" si="571"/>
        <v>0</v>
      </c>
      <c r="M975" s="4">
        <f t="shared" si="572"/>
        <v>0</v>
      </c>
      <c r="N975" s="4">
        <f t="shared" si="573"/>
        <v>0</v>
      </c>
      <c r="O975" s="5">
        <f t="shared" si="574"/>
        <v>37</v>
      </c>
      <c r="P975" s="6" t="str">
        <f t="shared" si="575"/>
        <v>31 TO 45 Days</v>
      </c>
      <c r="Q975" s="7">
        <v>42855</v>
      </c>
      <c r="R975" s="6" t="s">
        <v>2178</v>
      </c>
      <c r="Y975" s="1" t="str">
        <f>"416564390"</f>
        <v>416564390</v>
      </c>
    </row>
    <row r="976" spans="1:25" x14ac:dyDescent="0.2">
      <c r="A976" s="9" t="s">
        <v>438</v>
      </c>
      <c r="B976" s="10">
        <v>42766</v>
      </c>
      <c r="C976" s="9" t="s">
        <v>427</v>
      </c>
      <c r="D976" s="9" t="s">
        <v>426</v>
      </c>
      <c r="E976" s="9" t="s">
        <v>2190</v>
      </c>
      <c r="F976" s="9">
        <v>0</v>
      </c>
      <c r="G976" s="8">
        <v>9735</v>
      </c>
      <c r="H976" s="4">
        <f t="shared" si="567"/>
        <v>0</v>
      </c>
      <c r="I976" s="4">
        <f t="shared" si="568"/>
        <v>0</v>
      </c>
      <c r="J976" s="4">
        <f t="shared" si="569"/>
        <v>0</v>
      </c>
      <c r="K976" s="4">
        <f t="shared" si="570"/>
        <v>9735</v>
      </c>
      <c r="L976" s="4">
        <f t="shared" si="571"/>
        <v>0</v>
      </c>
      <c r="M976" s="4">
        <f t="shared" si="572"/>
        <v>0</v>
      </c>
      <c r="N976" s="4">
        <f t="shared" si="573"/>
        <v>9735</v>
      </c>
      <c r="O976" s="5">
        <f t="shared" si="574"/>
        <v>89</v>
      </c>
      <c r="P976" s="6" t="str">
        <f t="shared" si="575"/>
        <v>61 To 90 Days</v>
      </c>
      <c r="Q976" s="7">
        <v>42855</v>
      </c>
      <c r="R976" s="6" t="s">
        <v>2178</v>
      </c>
      <c r="Y976" s="1" t="str">
        <f>"4400187072"</f>
        <v>4400187072</v>
      </c>
    </row>
    <row r="977" spans="1:25" x14ac:dyDescent="0.2">
      <c r="A977" s="9" t="s">
        <v>1336</v>
      </c>
      <c r="B977" s="10">
        <v>42821</v>
      </c>
      <c r="C977" s="9" t="s">
        <v>1337</v>
      </c>
      <c r="D977" s="9" t="s">
        <v>164</v>
      </c>
      <c r="E977" s="9" t="s">
        <v>2190</v>
      </c>
      <c r="F977" s="9">
        <v>0</v>
      </c>
      <c r="G977" s="8">
        <v>9740</v>
      </c>
      <c r="H977" s="4">
        <f t="shared" si="567"/>
        <v>0</v>
      </c>
      <c r="I977" s="4">
        <f t="shared" si="568"/>
        <v>9740</v>
      </c>
      <c r="J977" s="4">
        <f t="shared" si="569"/>
        <v>0</v>
      </c>
      <c r="K977" s="4">
        <f t="shared" si="570"/>
        <v>0</v>
      </c>
      <c r="L977" s="4">
        <f t="shared" si="571"/>
        <v>0</v>
      </c>
      <c r="M977" s="4">
        <f t="shared" si="572"/>
        <v>0</v>
      </c>
      <c r="N977" s="4">
        <f t="shared" si="573"/>
        <v>0</v>
      </c>
      <c r="O977" s="5">
        <f t="shared" si="574"/>
        <v>34</v>
      </c>
      <c r="P977" s="6" t="str">
        <f t="shared" si="575"/>
        <v>31 TO 45 Days</v>
      </c>
      <c r="Q977" s="7">
        <v>42855</v>
      </c>
      <c r="R977" s="6" t="s">
        <v>2178</v>
      </c>
      <c r="Y977" s="1" t="str">
        <f>"4711236254"</f>
        <v>4711236254</v>
      </c>
    </row>
    <row r="978" spans="1:25" x14ac:dyDescent="0.2">
      <c r="A978" s="9" t="s">
        <v>1854</v>
      </c>
      <c r="B978" s="10">
        <v>42835</v>
      </c>
      <c r="C978" s="9" t="s">
        <v>1855</v>
      </c>
      <c r="D978" s="9" t="s">
        <v>144</v>
      </c>
      <c r="E978" s="9" t="s">
        <v>2190</v>
      </c>
      <c r="F978" s="9">
        <v>2300000</v>
      </c>
      <c r="G978" s="8">
        <v>9749</v>
      </c>
      <c r="H978" s="4">
        <f t="shared" si="567"/>
        <v>9749</v>
      </c>
      <c r="I978" s="4">
        <f t="shared" si="568"/>
        <v>0</v>
      </c>
      <c r="J978" s="4">
        <f t="shared" si="569"/>
        <v>0</v>
      </c>
      <c r="K978" s="4">
        <f t="shared" si="570"/>
        <v>0</v>
      </c>
      <c r="L978" s="4">
        <f t="shared" si="571"/>
        <v>0</v>
      </c>
      <c r="M978" s="4">
        <f t="shared" si="572"/>
        <v>0</v>
      </c>
      <c r="N978" s="4">
        <f t="shared" si="573"/>
        <v>0</v>
      </c>
      <c r="O978" s="5">
        <f t="shared" si="574"/>
        <v>20</v>
      </c>
      <c r="P978" s="6" t="str">
        <f t="shared" si="575"/>
        <v>30 Days</v>
      </c>
      <c r="Q978" s="7">
        <v>42855</v>
      </c>
      <c r="R978" s="6" t="str">
        <f>VLOOKUP(A978:A5867,[1]BOM_INV_OPERATOR_DETAILS_OUTPUT!$A$2:$D$1233,4,FALSE)</f>
        <v>AI</v>
      </c>
      <c r="Y978" s="1" t="str">
        <f>"4912910546"</f>
        <v>4912910546</v>
      </c>
    </row>
    <row r="979" spans="1:25" x14ac:dyDescent="0.2">
      <c r="A979" s="9" t="s">
        <v>935</v>
      </c>
      <c r="B979" s="10">
        <v>42802</v>
      </c>
      <c r="C979" s="9" t="s">
        <v>936</v>
      </c>
      <c r="D979" s="9" t="s">
        <v>161</v>
      </c>
      <c r="E979" s="9" t="s">
        <v>2190</v>
      </c>
      <c r="F979" s="9">
        <v>0</v>
      </c>
      <c r="G979" s="8">
        <v>9750</v>
      </c>
      <c r="H979" s="4">
        <f t="shared" si="567"/>
        <v>0</v>
      </c>
      <c r="I979" s="4">
        <f t="shared" si="568"/>
        <v>0</v>
      </c>
      <c r="J979" s="4">
        <f t="shared" si="569"/>
        <v>9750</v>
      </c>
      <c r="K979" s="4">
        <f t="shared" si="570"/>
        <v>0</v>
      </c>
      <c r="L979" s="4">
        <f t="shared" si="571"/>
        <v>0</v>
      </c>
      <c r="M979" s="4">
        <f t="shared" si="572"/>
        <v>0</v>
      </c>
      <c r="N979" s="4">
        <f t="shared" si="573"/>
        <v>0</v>
      </c>
      <c r="O979" s="5">
        <f t="shared" si="574"/>
        <v>53</v>
      </c>
      <c r="P979" s="6" t="str">
        <f t="shared" si="575"/>
        <v>46 To 60 Days</v>
      </c>
      <c r="Q979" s="7">
        <v>42855</v>
      </c>
      <c r="R979" s="6" t="s">
        <v>2178</v>
      </c>
      <c r="Y979" s="1" t="str">
        <f>"4711234131"</f>
        <v>4711234131</v>
      </c>
    </row>
    <row r="980" spans="1:25" x14ac:dyDescent="0.2">
      <c r="A980" s="9" t="s">
        <v>1514</v>
      </c>
      <c r="B980" s="10">
        <v>42825</v>
      </c>
      <c r="C980" s="9" t="s">
        <v>1515</v>
      </c>
      <c r="D980" s="9" t="s">
        <v>133</v>
      </c>
      <c r="E980" s="9" t="s">
        <v>2190</v>
      </c>
      <c r="F980" s="9">
        <v>20000000</v>
      </c>
      <c r="G980" s="8">
        <v>9759</v>
      </c>
      <c r="H980" s="4">
        <f t="shared" si="567"/>
        <v>9759</v>
      </c>
      <c r="I980" s="4">
        <f t="shared" si="568"/>
        <v>0</v>
      </c>
      <c r="J980" s="4">
        <f t="shared" si="569"/>
        <v>0</v>
      </c>
      <c r="K980" s="4">
        <f t="shared" si="570"/>
        <v>0</v>
      </c>
      <c r="L980" s="4">
        <f t="shared" si="571"/>
        <v>0</v>
      </c>
      <c r="M980" s="4">
        <f t="shared" si="572"/>
        <v>0</v>
      </c>
      <c r="N980" s="4">
        <f t="shared" si="573"/>
        <v>0</v>
      </c>
      <c r="O980" s="5">
        <f t="shared" si="574"/>
        <v>30</v>
      </c>
      <c r="P980" s="6" t="str">
        <f t="shared" si="575"/>
        <v>30 Days</v>
      </c>
      <c r="Q980" s="7">
        <v>42855</v>
      </c>
      <c r="R980" s="6" t="s">
        <v>2178</v>
      </c>
      <c r="Y980" s="1" t="str">
        <f>"4711236791"</f>
        <v>4711236791</v>
      </c>
    </row>
    <row r="981" spans="1:25" x14ac:dyDescent="0.2">
      <c r="A981" s="9" t="s">
        <v>1698</v>
      </c>
      <c r="B981" s="10">
        <v>42830</v>
      </c>
      <c r="C981" s="9" t="s">
        <v>1699</v>
      </c>
      <c r="D981" s="9" t="s">
        <v>17</v>
      </c>
      <c r="E981" s="9" t="s">
        <v>2190</v>
      </c>
      <c r="F981" s="9">
        <v>500000</v>
      </c>
      <c r="G981" s="8">
        <v>9776</v>
      </c>
      <c r="H981" s="4">
        <f t="shared" si="567"/>
        <v>9776</v>
      </c>
      <c r="I981" s="4">
        <f t="shared" si="568"/>
        <v>0</v>
      </c>
      <c r="J981" s="4">
        <f t="shared" si="569"/>
        <v>0</v>
      </c>
      <c r="K981" s="4">
        <f t="shared" si="570"/>
        <v>0</v>
      </c>
      <c r="L981" s="4">
        <f t="shared" si="571"/>
        <v>0</v>
      </c>
      <c r="M981" s="4">
        <f t="shared" si="572"/>
        <v>0</v>
      </c>
      <c r="N981" s="4">
        <f t="shared" si="573"/>
        <v>0</v>
      </c>
      <c r="O981" s="5">
        <f t="shared" si="574"/>
        <v>25</v>
      </c>
      <c r="P981" s="6" t="str">
        <f t="shared" si="575"/>
        <v>30 Days</v>
      </c>
      <c r="Q981" s="7">
        <v>42855</v>
      </c>
      <c r="R981" s="6" t="s">
        <v>2178</v>
      </c>
      <c r="Y981" s="1" t="str">
        <f>"4570271004"</f>
        <v>4570271004</v>
      </c>
    </row>
    <row r="982" spans="1:25" x14ac:dyDescent="0.2">
      <c r="A982" s="9" t="s">
        <v>1620</v>
      </c>
      <c r="B982" s="10">
        <v>42828</v>
      </c>
      <c r="C982" s="9" t="s">
        <v>1621</v>
      </c>
      <c r="D982" s="9" t="s">
        <v>629</v>
      </c>
      <c r="E982" s="9" t="s">
        <v>2190</v>
      </c>
      <c r="F982" s="9">
        <v>2000000</v>
      </c>
      <c r="G982" s="8">
        <v>9782</v>
      </c>
      <c r="H982" s="4">
        <f t="shared" si="567"/>
        <v>9782</v>
      </c>
      <c r="I982" s="4">
        <f t="shared" si="568"/>
        <v>0</v>
      </c>
      <c r="J982" s="4">
        <f t="shared" si="569"/>
        <v>0</v>
      </c>
      <c r="K982" s="4">
        <f t="shared" si="570"/>
        <v>0</v>
      </c>
      <c r="L982" s="4">
        <f t="shared" si="571"/>
        <v>0</v>
      </c>
      <c r="M982" s="4">
        <f t="shared" si="572"/>
        <v>0</v>
      </c>
      <c r="N982" s="4">
        <f t="shared" si="573"/>
        <v>0</v>
      </c>
      <c r="O982" s="5">
        <f t="shared" si="574"/>
        <v>27</v>
      </c>
      <c r="P982" s="6" t="str">
        <f t="shared" si="575"/>
        <v>30 Days</v>
      </c>
      <c r="Q982" s="7">
        <v>42855</v>
      </c>
      <c r="R982" s="6" t="s">
        <v>2178</v>
      </c>
      <c r="Y982" s="1" t="str">
        <f>"4560219132"</f>
        <v>4560219132</v>
      </c>
    </row>
    <row r="983" spans="1:25" x14ac:dyDescent="0.2">
      <c r="A983" s="9" t="s">
        <v>1751</v>
      </c>
      <c r="B983" s="10">
        <v>42831</v>
      </c>
      <c r="C983" s="9" t="s">
        <v>1752</v>
      </c>
      <c r="D983" s="9" t="s">
        <v>806</v>
      </c>
      <c r="E983" s="9" t="s">
        <v>2190</v>
      </c>
      <c r="F983" s="9">
        <v>700000</v>
      </c>
      <c r="G983" s="8">
        <v>9784</v>
      </c>
      <c r="H983" s="4">
        <f t="shared" si="567"/>
        <v>9784</v>
      </c>
      <c r="I983" s="4">
        <f t="shared" si="568"/>
        <v>0</v>
      </c>
      <c r="J983" s="4">
        <f t="shared" si="569"/>
        <v>0</v>
      </c>
      <c r="K983" s="4">
        <f t="shared" si="570"/>
        <v>0</v>
      </c>
      <c r="L983" s="4">
        <f t="shared" si="571"/>
        <v>0</v>
      </c>
      <c r="M983" s="4">
        <f t="shared" si="572"/>
        <v>0</v>
      </c>
      <c r="N983" s="4">
        <f t="shared" si="573"/>
        <v>0</v>
      </c>
      <c r="O983" s="5">
        <f t="shared" si="574"/>
        <v>24</v>
      </c>
      <c r="P983" s="6" t="str">
        <f t="shared" si="575"/>
        <v>30 Days</v>
      </c>
      <c r="Q983" s="7">
        <v>42855</v>
      </c>
      <c r="R983" s="6" t="s">
        <v>2178</v>
      </c>
      <c r="Y983" s="1" t="str">
        <f>"4540131594"</f>
        <v>4540131594</v>
      </c>
    </row>
  </sheetData>
  <autoFilter ref="A1:AE983"/>
  <sortState ref="A7:AN49459">
    <sortCondition ref="G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invoices-17-Apr-2017-035502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Omprakash Kanojia</dc:creator>
  <cp:lastModifiedBy>Suman Devadiga</cp:lastModifiedBy>
  <dcterms:created xsi:type="dcterms:W3CDTF">2017-04-17T04:00:15Z</dcterms:created>
  <dcterms:modified xsi:type="dcterms:W3CDTF">2017-04-20T13:01:36Z</dcterms:modified>
</cp:coreProperties>
</file>